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40" windowHeight="6795" activeTab="0"/>
  </bookViews>
  <sheets>
    <sheet name="ФинВложения" sheetId="1" r:id="rId1"/>
    <sheet name="info" sheetId="2" state="hidden" r:id="rId2"/>
    <sheet name="data" sheetId="3" r:id="rId3"/>
    <sheet name="data(original)" sheetId="4" state="hidden" r:id="rId4"/>
    <sheet name="ФинВложения(original)" sheetId="5" state="hidden" r:id="rId5"/>
  </sheets>
  <definedNames>
    <definedName name="AMOUNT">'ФинВложения'!#REF!</definedName>
    <definedName name="autofit_columns">'ФинВложения'!$E:$N</definedName>
    <definedName name="autofit_rows">'ФинВложения'!$9:$10</definedName>
    <definedName name="B_SYS_NAME">'ФинВложения'!#REF!</definedName>
    <definedName name="BAL_DELTA">'ФинВложения'!#REF!</definedName>
    <definedName name="BAL_SUMMA">'ФинВложения'!#REF!</definedName>
    <definedName name="BalOutArea">'ФинВложения'!#REF!</definedName>
    <definedName name="BalOutHead">'ФинВложения'!#REF!</definedName>
    <definedName name="BalOutSum">'ФинВложения'!#REF!</definedName>
    <definedName name="BalSysnameColumn">'ФинВложения'!$T$14:$T$37</definedName>
    <definedName name="ContractCell">'data'!$B$5</definedName>
    <definedName name="ContractRows">'ФинВложения'!$10:$10</definedName>
    <definedName name="DATABASE">'ФинВложения'!$B$13:$X$38</definedName>
    <definedName name="DEATHDATE">'ФинВложения'!#REF!</definedName>
    <definedName name="finit_metalarea">'data'!$B$27:$B$35</definedName>
    <definedName name="GroupColumn">'ФинВложения'!$AK$14:$AK$37</definedName>
    <definedName name="GroupList">'data'!$A$42:$D$46</definedName>
    <definedName name="I_NAME">'ФинВложения'!#REF!</definedName>
    <definedName name="init_metalarea">'data'!$B$1:$B$23</definedName>
    <definedName name="INVESTMENT">'ФинВложения'!#REF!</definedName>
    <definedName name="InvestorRows">'ФинВложения'!$8:$9</definedName>
    <definedName name="IS_CONV">'ФинВложения'!#REF!</definedName>
    <definedName name="IS_FV">'data'!#REF!</definedName>
    <definedName name="ISIN">'ФинВложения'!#REF!</definedName>
    <definedName name="IsPercent">'data'!$B$51</definedName>
    <definedName name="IssuerColumn">'ФинВложения'!$W$14:$W$37</definedName>
    <definedName name="IssuerNameColumn">'ФинВложения'!$B$14:$B$38</definedName>
    <definedName name="IssuerSumArea">'ФинВложения'!$38:$38</definedName>
    <definedName name="LABEL_AREA">'ФинВложения'!$B$1:$C$10</definedName>
    <definedName name="metalarea">'ФинВложения'!#REF!</definedName>
    <definedName name="metalbuffer">'ФинВложения'!$AE$39:$AG$39</definedName>
    <definedName name="NoFormulaArea">'ФинВложения'!$B$14:$J$37</definedName>
    <definedName name="NOMINAL">'ФинВложения'!#REF!</definedName>
    <definedName name="NUM_1">'ФинВложения'!#REF!</definedName>
    <definedName name="NUM_2">'ФинВложения'!#REF!</definedName>
    <definedName name="NUM_REG">'ФинВложения'!#REF!</definedName>
    <definedName name="OFICDATE">'ФинВложения'!#REF!</definedName>
    <definedName name="RATE">'ФинВложения'!#REF!</definedName>
    <definedName name="RUR_NEXT">'ФинВложения'!#REF!</definedName>
    <definedName name="S_CLASS">'ФинВложения'!#REF!</definedName>
    <definedName name="ShareColumn">'ФинВложения'!$B$14:$B$37</definedName>
    <definedName name="sortarea">'ФинВложения'!$14:$37</definedName>
    <definedName name="Sum1Column">'ФинВложения'!$I$14:$I$38</definedName>
    <definedName name="Sum2Column">'ФинВложения'!$N$14:$N$38</definedName>
    <definedName name="Sum3Column">'ФинВложения'!$AJ$14:$AJ$38</definedName>
    <definedName name="Sum4Column">'ФинВложения'!#REF!</definedName>
    <definedName name="Sum5Column">'ФинВложения'!#REF!</definedName>
    <definedName name="Sum6Column">'ФинВложения'!$Q$14:$Q$38</definedName>
    <definedName name="SYSNAME">'ФинВложения'!#REF!</definedName>
    <definedName name="workarea">'ФинВложения'!#REF!</definedName>
    <definedName name="XColumn">'ФинВложения'!#REF!</definedName>
    <definedName name="_xlnm.Print_Area" localSheetId="0">'ФинВложения'!$B$1:$Q$57</definedName>
  </definedNames>
  <calcPr fullCalcOnLoad="1"/>
</workbook>
</file>

<file path=xl/comments1.xml><?xml version="1.0" encoding="utf-8"?>
<comments xmlns="http://schemas.openxmlformats.org/spreadsheetml/2006/main">
  <authors>
    <author>Тюфягин Володя</author>
    <author>TVA</author>
  </authors>
  <commentList>
    <comment ref="B45" authorId="0">
      <text>
        <r>
          <rPr>
            <sz val="8"/>
            <rFont val="Tahoma"/>
            <family val="2"/>
          </rPr>
          <t xml:space="preserve">Отношение разницы между текущими оценкой и состоянием фонда к средневзвешенному состоянию фонда с начала года. </t>
        </r>
      </text>
    </comment>
    <comment ref="B47" authorId="0">
      <text>
        <r>
          <rPr>
            <sz val="8"/>
            <rFont val="Tahoma"/>
            <family val="2"/>
          </rPr>
          <t>Отношение суммы эффективной доходности к погашению по всем строкам (в рублях) к текущей оценке портфеля</t>
        </r>
      </text>
    </comment>
    <comment ref="B51" authorId="1">
      <text>
        <r>
          <rPr>
            <sz val="8"/>
            <rFont val="Tahoma"/>
            <family val="2"/>
          </rPr>
          <t>учитываются остатки на счетах 76.14, 76.15 и 76.16</t>
        </r>
      </text>
    </comment>
    <comment ref="B43" authorId="0">
      <text>
        <r>
          <rPr>
            <sz val="8"/>
            <rFont val="Tahoma"/>
            <family val="2"/>
          </rPr>
          <t>Отношение разницы между текущими оценкой и состоянием фонда к средневзвешенному состоянию фонда с начала года, с учетом разницы между рыночной и балансовой ценой при вводе-выводе ЦБ</t>
        </r>
      </text>
    </comment>
    <comment ref="B49" authorId="0">
      <text>
        <r>
          <rPr>
            <sz val="8"/>
            <rFont val="Tahoma"/>
            <family val="2"/>
          </rPr>
          <t>Отношение суммы эффективной доходности к погашению по всем строкам (в рублях) к текущей оценке портфеля</t>
        </r>
      </text>
    </comment>
  </commentList>
</comments>
</file>

<file path=xl/comments5.xml><?xml version="1.0" encoding="utf-8"?>
<comments xmlns="http://schemas.openxmlformats.org/spreadsheetml/2006/main">
  <authors>
    <author>Тюфягин Володя</author>
    <author>TVA</author>
  </authors>
  <commentList>
    <comment ref="B24" authorId="0">
      <text>
        <r>
          <rPr>
            <sz val="8"/>
            <rFont val="Tahoma"/>
            <family val="2"/>
          </rPr>
          <t>Отношение разницы между текущими оценкой и состоянием фонда к средневзвешенному состоянию фонда с начала года, с учетом разницы между рыночной и балансовой ценой при вводе-выводе ЦБ</t>
        </r>
      </text>
    </comment>
    <comment ref="B26" authorId="0">
      <text>
        <r>
          <rPr>
            <sz val="8"/>
            <rFont val="Tahoma"/>
            <family val="2"/>
          </rPr>
          <t xml:space="preserve">Отношение разницы между текущими оценкой и состоянием фонда к средневзвешенному состоянию фонда с начала года. </t>
        </r>
      </text>
    </comment>
    <comment ref="B28" authorId="0">
      <text>
        <r>
          <rPr>
            <sz val="8"/>
            <rFont val="Tahoma"/>
            <family val="2"/>
          </rPr>
          <t>Отношение суммы эффективной доходности к погашению по всем строкам (в рублях) к текущей оценке портфеля</t>
        </r>
      </text>
    </comment>
    <comment ref="B30" authorId="0">
      <text>
        <r>
          <rPr>
            <sz val="8"/>
            <rFont val="Tahoma"/>
            <family val="2"/>
          </rPr>
          <t>Отношение суммы эффективной доходности к погашению по всем строкам (в рублях) к текущей оценке портфеля</t>
        </r>
      </text>
    </comment>
    <comment ref="B32" authorId="1">
      <text>
        <r>
          <rPr>
            <sz val="8"/>
            <rFont val="Tahoma"/>
            <family val="2"/>
          </rPr>
          <t>учитываются остатки на счетах 76.14, 76.15 и 76.16</t>
        </r>
      </text>
    </comment>
  </commentList>
</comments>
</file>

<file path=xl/sharedStrings.xml><?xml version="1.0" encoding="utf-8"?>
<sst xmlns="http://schemas.openxmlformats.org/spreadsheetml/2006/main" count="464" uniqueCount="239">
  <si>
    <t>Количество</t>
  </si>
  <si>
    <t>1</t>
  </si>
  <si>
    <t>2</t>
  </si>
  <si>
    <t>3</t>
  </si>
  <si>
    <t>4</t>
  </si>
  <si>
    <t>5</t>
  </si>
  <si>
    <t>Должность</t>
  </si>
  <si>
    <t>ФИО</t>
  </si>
  <si>
    <t>Наименование брокера</t>
  </si>
  <si>
    <t>Лицензия</t>
  </si>
  <si>
    <t>_f_report-&gt;GetUFace( MyFace, EndDate.text )</t>
  </si>
  <si>
    <t>Дата котировки</t>
  </si>
  <si>
    <t>Эмитент</t>
  </si>
  <si>
    <t>Дата котир.</t>
  </si>
  <si>
    <t>6</t>
  </si>
  <si>
    <t>7</t>
  </si>
  <si>
    <t>№ Счета</t>
  </si>
  <si>
    <t>№ Субсчета</t>
  </si>
  <si>
    <t>Тип вложения</t>
  </si>
  <si>
    <t>ПО ВСЕМ ВЛОЖЕНИЯМ:</t>
  </si>
  <si>
    <t>ГРУППЫ</t>
  </si>
  <si>
    <t>ЦБ</t>
  </si>
  <si>
    <t>8</t>
  </si>
  <si>
    <t>количество</t>
  </si>
  <si>
    <t>курс USD</t>
  </si>
  <si>
    <t>_f_bux.Get_Rate_By_SysName.OFICDATE</t>
  </si>
  <si>
    <t>дата курса</t>
  </si>
  <si>
    <t>код счета</t>
  </si>
  <si>
    <t>ПОРТФЕЛЬ</t>
  </si>
  <si>
    <t>_f_broller-&gt;GetContractsNames( lb_CONTRACT.Value )</t>
  </si>
  <si>
    <t>акциям</t>
  </si>
  <si>
    <t>федеральным облигациям</t>
  </si>
  <si>
    <t>облигациям субъектов РФ</t>
  </si>
  <si>
    <t>векселям</t>
  </si>
  <si>
    <t>депозитам</t>
  </si>
  <si>
    <t>прочим вложениям</t>
  </si>
  <si>
    <t>Юр. адрес</t>
  </si>
  <si>
    <t>_f_report-&gt;GetFace( MyFace, EndDate.text ); _f_report.GetFace.HOME_ADR</t>
  </si>
  <si>
    <t>Процент от всего по бал. ст-ти</t>
  </si>
  <si>
    <t>остаток на ФОНД</t>
  </si>
  <si>
    <t>FondRest</t>
  </si>
  <si>
    <t>средневзвеш. ФОНД</t>
  </si>
  <si>
    <t>FondMiddle</t>
  </si>
  <si>
    <t>остаток на ПРИРОСТ-2 на начало</t>
  </si>
  <si>
    <t>Prirost2Rest</t>
  </si>
  <si>
    <t>остаток на ПЕРЕОЦЕНКА-П на начало</t>
  </si>
  <si>
    <t>PereocenkaPRest</t>
  </si>
  <si>
    <t>код сч.</t>
  </si>
  <si>
    <t>ПИФ-Б</t>
  </si>
  <si>
    <t>на след. дату</t>
  </si>
  <si>
    <t>денежным средствам у брокера</t>
  </si>
  <si>
    <t>Процент от всего по оценке</t>
  </si>
  <si>
    <t>Эффективная доходность к погашению</t>
  </si>
  <si>
    <t>НКД</t>
  </si>
  <si>
    <t>Доходность</t>
  </si>
  <si>
    <t>RUR доходность</t>
  </si>
  <si>
    <t>Алгоритм: СУММ(Эффект.дох. в RUR)/Текущ.оцен.</t>
  </si>
  <si>
    <t>М.П.</t>
  </si>
  <si>
    <t>№ гос.рег.</t>
  </si>
  <si>
    <t>Наименов</t>
  </si>
  <si>
    <t>Дата погашения</t>
  </si>
  <si>
    <t>Фед(1)/Мун(2)</t>
  </si>
  <si>
    <t>кол-во дней:</t>
  </si>
  <si>
    <t>сумма ПИФ-Б:</t>
  </si>
  <si>
    <t>условие отбора:</t>
  </si>
  <si>
    <t>Алгоритм: ((ТекущОценка-(ФОНД+НачПРИРОСТ2)) / (СреднФОНД+НачПРИРОСТ2)) * 365 / ЧислоДней</t>
  </si>
  <si>
    <t>по всем</t>
  </si>
  <si>
    <t>паям</t>
  </si>
  <si>
    <t>PrirostRest</t>
  </si>
  <si>
    <t>текущее состояние фонда</t>
  </si>
  <si>
    <t>средневзвешенное состояние фонда</t>
  </si>
  <si>
    <t>средневзвешенный ФОНД + ПРИРОСТ-2 на начало</t>
  </si>
  <si>
    <t>Код ФИ</t>
  </si>
  <si>
    <t>DRS/000/000001</t>
  </si>
  <si>
    <t>Текущая оценка RUR**</t>
  </si>
  <si>
    <t>Балансовая стоимость, руб.*</t>
  </si>
  <si>
    <t>IS_BALOUT_Check.Checked</t>
  </si>
  <si>
    <t>в том числе
переоценка,
руб.</t>
  </si>
  <si>
    <t>оценка</t>
  </si>
  <si>
    <t>Процент по каждой позиции</t>
  </si>
  <si>
    <t>Проценты в суммах</t>
  </si>
  <si>
    <t>остаток на ПРИРОСТ на начало</t>
  </si>
  <si>
    <t xml:space="preserve">                              ФОНД + ПРИРОСТ-2 на начало - дебитовый остаток ПРИРОСТ на начало</t>
  </si>
  <si>
    <t>Бухгалтерская прибыль+/убыток- с начала года</t>
  </si>
  <si>
    <t>BuxPU</t>
  </si>
  <si>
    <t>муниципальным облигациям</t>
  </si>
  <si>
    <t>по всем забалансовым обязательствам</t>
  </si>
  <si>
    <t>Забалансовые обязательства в % от стоимости активов</t>
  </si>
  <si>
    <t>Номинал</t>
  </si>
  <si>
    <t>Финансовый инструмент</t>
  </si>
  <si>
    <t>Код финанс. инструмента</t>
  </si>
  <si>
    <t>Текущая оценка 1 бумаги RUR**</t>
  </si>
  <si>
    <t>9</t>
  </si>
  <si>
    <t>10</t>
  </si>
  <si>
    <t>11</t>
  </si>
  <si>
    <t>12</t>
  </si>
  <si>
    <t>_f_broller-&gt;GetLicence(ENDDATE.Date)</t>
  </si>
  <si>
    <t>RateBal</t>
  </si>
  <si>
    <t>(Оценка-Баланс) по всему</t>
  </si>
  <si>
    <t>Алгоритм: ((ТекущОценка-(ФОНД+НачПРИРОСТ2+НачПЕРЕОЦЕНКА.П+НачРАЗН)) / (СреднФОНД+НачПРИРОСТ2+НачПЕРЕОЦЕНКА.П+НачРАЗН)) * 365 / ЧислоДней</t>
  </si>
  <si>
    <t>Облигация</t>
  </si>
  <si>
    <t>Портфель инвестора с группировкой по видам вложений</t>
  </si>
  <si>
    <t>_f_report-&gt;GetFacesNames( INVESTOR.Value, EndDate.Date)</t>
  </si>
  <si>
    <t xml:space="preserve">_f_bux-&gt;Get_Rate_By_SysName( 'USD', 1, EndDate.Text) </t>
  </si>
  <si>
    <t>time(EndTime.Time)</t>
  </si>
  <si>
    <t>date(EndDate.Text)</t>
  </si>
  <si>
    <t>облигациям с ипотечным покрытием</t>
  </si>
  <si>
    <t>сделкам РЕПО</t>
  </si>
  <si>
    <t>ипотечная?</t>
  </si>
  <si>
    <t>облигациям предприятий и организаций (кроме ипотечных)</t>
  </si>
  <si>
    <t>Начало года</t>
  </si>
  <si>
    <t>iif( encodeDate( year( date(EndDate.text) ), 1, 1 )=Date(EndDate.text),  encodeDate( year( date(EndDate.text)-1 ), 1, 1 ),  encodeDate( year( date(EndDate.text) ), 1, 1 ))</t>
  </si>
  <si>
    <t>Число дней в году</t>
  </si>
  <si>
    <t>Число дней в периде</t>
  </si>
  <si>
    <t>DbpAvaRest</t>
  </si>
  <si>
    <t>остаток на ДБП-АВА на начало</t>
  </si>
  <si>
    <t>R_MODE.Value</t>
  </si>
  <si>
    <t>R_MODE.Text</t>
  </si>
  <si>
    <t>AllFin</t>
  </si>
  <si>
    <t>84 + все 86 - 86.1 + все 90 + все 91 - все 98</t>
  </si>
  <si>
    <t>Дельта Капитала к остатку Фонд на начало</t>
  </si>
  <si>
    <t>Средневзвешенная дельта (с учетом прошлых периодов) текущего года</t>
  </si>
  <si>
    <t>Расчетная средневзвешенная дельта текущего года</t>
  </si>
  <si>
    <t>Дельта (остаток) между рыночной и балансовой стоимостью при вводе выводе ЦБ на начало года</t>
  </si>
  <si>
    <t>Дельта (оборот) между рыночной и балансовой стоимостью при вводе выводе ЦБ текущего года</t>
  </si>
  <si>
    <t>Временная добавка к периоду</t>
  </si>
  <si>
    <t>DeltaMiddle</t>
  </si>
  <si>
    <t>Остаток 86 (тех план) на начало года (кредитовый +, дебетовый -)</t>
  </si>
  <si>
    <t>Средневзвешенные остатки 86 (тех план) за период (дата отчета минус начало года)</t>
  </si>
  <si>
    <t>DeltaBeg</t>
  </si>
  <si>
    <t>DeltaMiddle-DeltaBeg</t>
  </si>
  <si>
    <t>DeltaEnd-DeltaBeg</t>
  </si>
  <si>
    <t>Остаток 86 (тех план) на дату отчета (кредитовый +, дебетовый -) минус Остаток 86 (тех план) на начало года (кредитовый +, дебетовый -)</t>
  </si>
  <si>
    <t>** Оценка долговых обязательств, не обращающихся на ОРЦБ, произведена с учетом срока их обращения с момента постановки на баланс</t>
  </si>
  <si>
    <t>ISIN</t>
  </si>
  <si>
    <t>Переоценка на текущую дату</t>
  </si>
  <si>
    <t>14</t>
  </si>
  <si>
    <t>15</t>
  </si>
  <si>
    <t>_f_report-&gt;FIOwithInitial(_f_report-&gt;GetReporter)</t>
  </si>
  <si>
    <t>_f_report.GetReporter.Dol_Reporter</t>
  </si>
  <si>
    <t xml:space="preserve">OPE (11):  ООО УК "ОТКРЫТИЕ"
Fansy-SPECTRE V04.15 (updated 18.03.2012 17:18:06)
User name: SYSDBA_FEOKTISTOVA, active form: _B_PORTFOLIO0
HostName: DCD-SQL-UK.OPEN.RU, Database: SDP_DATA.ms
driver: SQLServer v.10.50.1617.0 (dbExpress)
metadata: V04.15, exe-file: V04.15
Program version: 4.0.15  Build: 0
\\dcd-sql-uk.open.ru\SPECTRE\SPECTRE.exe - 29.02.2012 16:30:20
</t>
  </si>
  <si>
    <t>Изначальное имя файла: OPE_B_PORTFOLIO_share1</t>
  </si>
  <si>
    <t>Отчёт сформирован: 23.04.2012 18:35:11</t>
  </si>
  <si>
    <t>31.03.2012</t>
  </si>
  <si>
    <t>Фонд собственник целевого капитала "Эндаумент НГУ"</t>
  </si>
  <si>
    <t>235-ЦК от 19.07.2011</t>
  </si>
  <si>
    <t>Общество с ограниченной ответственностью "Управляющая компания "ОТКРЫТИЕ"</t>
  </si>
  <si>
    <t>Авакян А.А.</t>
  </si>
  <si>
    <t>Начальник Управления внутреннего учета</t>
  </si>
  <si>
    <t>Лицензия УК № 21-000-1-00048 от 11.04.2001г.; лицензия ДУ № 077-07524-001000 от 23.03.2004г.</t>
  </si>
  <si>
    <t>119021, г. Москва, ул. Тимура Фрунзе, д. 11, стр. 13</t>
  </si>
  <si>
    <t xml:space="preserve"> </t>
  </si>
  <si>
    <t>( из договора )</t>
  </si>
  <si>
    <t>01.01.2012</t>
  </si>
  <si>
    <t>Р/С</t>
  </si>
  <si>
    <t>р/с 40701810900000000655 (RUB) в ОАО Банк "ОТКРЫТИЕ"</t>
  </si>
  <si>
    <t>RUB</t>
  </si>
  <si>
    <t>ОАО Банк "ОТКРЫТИЕ"</t>
  </si>
  <si>
    <t>Р/С-С</t>
  </si>
  <si>
    <t>Деньги у брокера, р/с 30401810200200000375 (ОТКРЫТИЕ - ММВБ - ФСЦК "Эндаумент НГУ" ) (RUB)</t>
  </si>
  <si>
    <t xml:space="preserve"> Брокерский дом "ОТКРЫТИЕ" ОАО</t>
  </si>
  <si>
    <t>ДЕПОЗИТЫ</t>
  </si>
  <si>
    <t>ОАО Банк "ОТКРЫТИЕ" ; договор №51705-0000-02724 от 20.12.2011 (RUB)</t>
  </si>
  <si>
    <t>ОАО Банк "ОТКРЫТИЕ" ; договор №51700-0000-02796 от 10.02.2012 (RUB)</t>
  </si>
  <si>
    <t>Газпром ао</t>
  </si>
  <si>
    <t>GAZP</t>
  </si>
  <si>
    <t>Газпром ОАО</t>
  </si>
  <si>
    <t>Акция</t>
  </si>
  <si>
    <t>1-02-00028-A</t>
  </si>
  <si>
    <t>RU0007661625</t>
  </si>
  <si>
    <t>ГМКНорНик ао</t>
  </si>
  <si>
    <t>GMKN</t>
  </si>
  <si>
    <t>Норильский никель ГМК ОАО</t>
  </si>
  <si>
    <t>1-01-40155-F</t>
  </si>
  <si>
    <t>RU0007288411</t>
  </si>
  <si>
    <t>ЛУКойл НК ао</t>
  </si>
  <si>
    <t>LKOH</t>
  </si>
  <si>
    <t>ЛУКОЙЛ НК ОАО</t>
  </si>
  <si>
    <t>1-01-00077-A</t>
  </si>
  <si>
    <t>RU0009024277</t>
  </si>
  <si>
    <t>Роснефть ао</t>
  </si>
  <si>
    <t>ROSN</t>
  </si>
  <si>
    <t>ОАО"НК "Роснефть"</t>
  </si>
  <si>
    <t>1-02-00122-A</t>
  </si>
  <si>
    <t>RU000A0J2Q06</t>
  </si>
  <si>
    <t>Сбербанк ао</t>
  </si>
  <si>
    <t>SBER</t>
  </si>
  <si>
    <t>СБЕРБАНК РОССИИ ОАО</t>
  </si>
  <si>
    <t>10301481B</t>
  </si>
  <si>
    <t>RU0009029540</t>
  </si>
  <si>
    <t>ПОРТФЕЛЬ-2</t>
  </si>
  <si>
    <t>МДМ Банк (ОАО) 08 об</t>
  </si>
  <si>
    <t>RU000A0JPQA9</t>
  </si>
  <si>
    <t>МДМ Банк ОАО</t>
  </si>
  <si>
    <t>40800323B</t>
  </si>
  <si>
    <t>Обл."Банк Русский Стандарт"БО1</t>
  </si>
  <si>
    <t>RU000A0JRVZ2</t>
  </si>
  <si>
    <t>Банк Русский Стандарт ЗАО</t>
  </si>
  <si>
    <t>4B020102289B</t>
  </si>
  <si>
    <t>Петрокоммерц КБ ОАО об (серия 07)</t>
  </si>
  <si>
    <t>RU000A0JQ9X3</t>
  </si>
  <si>
    <t>Петрокоммерц Коммерческий банк ОАО</t>
  </si>
  <si>
    <t>40701776B</t>
  </si>
  <si>
    <t>Промсвязьбанк ОАО БО-03</t>
  </si>
  <si>
    <t>RU000A0JR845</t>
  </si>
  <si>
    <t>Промсвязьбaнк ОАО АКБ</t>
  </si>
  <si>
    <t>4B020303251B</t>
  </si>
  <si>
    <t>СУЭК-Финанс ООО об. 01</t>
  </si>
  <si>
    <t>RU000A0JQXR7</t>
  </si>
  <si>
    <t>СУЭК-Финанс ООО</t>
  </si>
  <si>
    <t>4-01-36393-R</t>
  </si>
  <si>
    <t>МДМ Банк (ОАО) 08 об; НКД</t>
  </si>
  <si>
    <t>Обл."Банк Русский Стандарт"БО1; НКД</t>
  </si>
  <si>
    <t>Петрокоммерц КБ ОАО об (серия 07); НКД</t>
  </si>
  <si>
    <t>Промсвязьбанк ОАО БО-03; НКД</t>
  </si>
  <si>
    <t>СУЭК-Финанс ООО об. 01; НКД</t>
  </si>
  <si>
    <t xml:space="preserve"> р/с 40701810900000000655 (RUB) в ОАО Банк "ОТКРЫТИЕ"</t>
  </si>
  <si>
    <t/>
  </si>
  <si>
    <t>Деньги</t>
  </si>
  <si>
    <t xml:space="preserve"> Деньги у брокера, р/с 30401810200200000375 (ОТКРЫТИЕ - ММВБ - ФСЦК "Эндаумент НГУ" ) (RUB)</t>
  </si>
  <si>
    <t xml:space="preserve"> ОАО Банк "ОТКРЫТИЕ" ; договор №51705-0000-02724 от 20.12.2011 (RUB)</t>
  </si>
  <si>
    <t>Депозиты</t>
  </si>
  <si>
    <t xml:space="preserve"> ОАО Банк "ОТКРЫТИЕ" ; договор №51700-0000-02796 от 10.02.2012 (RUB)</t>
  </si>
  <si>
    <t>1-02-00028-A Газпром ао</t>
  </si>
  <si>
    <t>1-01-40155-F ГМКНорНик ао</t>
  </si>
  <si>
    <t>1-01-00077-A ЛУКойл НК ао</t>
  </si>
  <si>
    <t>1-02-00122-A Роснефть ао</t>
  </si>
  <si>
    <t>10301481B Сбербанк ао</t>
  </si>
  <si>
    <t>40800323B МДМ Банк (ОАО) 08 об</t>
  </si>
  <si>
    <t>4B020102289B Обл."Банк Русский Стандарт"БО1</t>
  </si>
  <si>
    <t>40701776B Петрокоммерц КБ ОАО об (серия 07)</t>
  </si>
  <si>
    <t>4B020303251B Промсвязьбанк ОАО БО-03</t>
  </si>
  <si>
    <t>4-01-36393-R СУЭК-Финанс ООО об. 01</t>
  </si>
  <si>
    <t>40800323B МДМ Банк (ОАО) 08 об; НКД</t>
  </si>
  <si>
    <t>Купон</t>
  </si>
  <si>
    <t>4B020102289B Обл."Банк Русский Стандарт"БО1; НКД</t>
  </si>
  <si>
    <t>40701776B Петрокоммерц КБ ОАО об (серия 07); НКД</t>
  </si>
  <si>
    <t>4B020303251B Промсвязьбанк ОАО БО-03; НКД</t>
  </si>
  <si>
    <t>4-01-36393-R СУЭК-Финанс ООО об. 01; НКД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</si>
</sst>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00_р_."/>
    <numFmt numFmtId="166" formatCode="#,##0.00000"/>
    <numFmt numFmtId="167" formatCode="#,##0.##"/>
    <numFmt numFmtId="168" formatCode="#,##0.00;\-#,##0.00;\-"/>
    <numFmt numFmtId="169" formatCode="#,##0.##;\-#,##0.##;\-"/>
    <numFmt numFmtId="170" formatCode="#,##0.####;\-#,##0.####;\-"/>
    <numFmt numFmtId="171" formatCode="0.00%;\-0.00%;\-"/>
    <numFmt numFmtId="172" formatCode="[$-FC19]d\ mmmm\ yyyy\ &quot;г.&quot;"/>
    <numFmt numFmtId="173" formatCode="dd/mm/yy\ h:mm;@"/>
    <numFmt numFmtId="174" formatCode="#,##0.0000;\-#,##0.0000;\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0"/>
      <name val="Arial Cyr"/>
      <family val="0"/>
    </font>
    <font>
      <b/>
      <sz val="10"/>
      <color indexed="20"/>
      <name val="Arial Cyr"/>
      <family val="2"/>
    </font>
    <font>
      <sz val="10"/>
      <color indexed="20"/>
      <name val="Arial Cyr"/>
      <family val="2"/>
    </font>
    <font>
      <b/>
      <sz val="14"/>
      <name val="Arial Cyr"/>
      <family val="2"/>
    </font>
    <font>
      <sz val="10"/>
      <name val="Arial CYR"/>
      <family val="2"/>
    </font>
    <font>
      <sz val="10"/>
      <color indexed="16"/>
      <name val="Arial Cyr"/>
      <family val="2"/>
    </font>
    <font>
      <sz val="12"/>
      <name val="Arial Cyr"/>
      <family val="2"/>
    </font>
    <font>
      <sz val="8"/>
      <name val="Tahoma"/>
      <family val="2"/>
    </font>
    <font>
      <sz val="12"/>
      <color indexed="18"/>
      <name val="Arial Cyr"/>
      <family val="2"/>
    </font>
    <font>
      <sz val="10"/>
      <color indexed="55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sz val="8.25"/>
      <color indexed="8"/>
      <name val="Arial Cyr"/>
      <family val="0"/>
    </font>
    <font>
      <sz val="10"/>
      <color indexed="10"/>
      <name val="Arial Cyr"/>
      <family val="0"/>
    </font>
    <font>
      <b/>
      <i/>
      <u val="single"/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0" fontId="0" fillId="34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20" fontId="2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 quotePrefix="1">
      <alignment horizontal="right" vertical="center"/>
    </xf>
    <xf numFmtId="0" fontId="0" fillId="34" borderId="16" xfId="0" applyFill="1" applyBorder="1" applyAlignment="1" quotePrefix="1">
      <alignment vertical="center"/>
    </xf>
    <xf numFmtId="0" fontId="4" fillId="34" borderId="16" xfId="0" applyFont="1" applyFill="1" applyBorder="1" applyAlignment="1" quotePrefix="1">
      <alignment horizontal="center" vertical="center"/>
    </xf>
    <xf numFmtId="0" fontId="4" fillId="34" borderId="17" xfId="0" applyFont="1" applyFill="1" applyBorder="1" applyAlignment="1" quotePrefix="1">
      <alignment horizontal="center" vertical="center"/>
    </xf>
    <xf numFmtId="0" fontId="4" fillId="34" borderId="18" xfId="0" applyFont="1" applyFill="1" applyBorder="1" applyAlignment="1" quotePrefix="1">
      <alignment horizontal="center" vertical="center" wrapText="1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horizontal="right" vertical="center" wrapText="1"/>
    </xf>
    <xf numFmtId="168" fontId="0" fillId="34" borderId="22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4" borderId="28" xfId="0" applyFill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171" fontId="0" fillId="34" borderId="14" xfId="0" applyNumberFormat="1" applyFill="1" applyBorder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33" borderId="23" xfId="0" applyFill="1" applyBorder="1" applyAlignment="1">
      <alignment horizontal="right" vertical="center" wrapText="1"/>
    </xf>
    <xf numFmtId="4" fontId="0" fillId="34" borderId="0" xfId="0" applyNumberFormat="1" applyFill="1" applyAlignment="1">
      <alignment/>
    </xf>
    <xf numFmtId="0" fontId="0" fillId="33" borderId="29" xfId="0" applyFill="1" applyBorder="1" applyAlignment="1">
      <alignment horizontal="right" vertical="center" wrapText="1"/>
    </xf>
    <xf numFmtId="171" fontId="0" fillId="34" borderId="22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71" fontId="0" fillId="34" borderId="30" xfId="0" applyNumberFormat="1" applyFill="1" applyBorder="1" applyAlignment="1">
      <alignment/>
    </xf>
    <xf numFmtId="171" fontId="0" fillId="34" borderId="22" xfId="0" applyNumberForma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8" fillId="34" borderId="0" xfId="0" applyFont="1" applyFill="1" applyAlignment="1">
      <alignment/>
    </xf>
    <xf numFmtId="1" fontId="5" fillId="34" borderId="0" xfId="0" applyNumberFormat="1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4" fontId="10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/>
    </xf>
    <xf numFmtId="0" fontId="4" fillId="34" borderId="32" xfId="0" applyFont="1" applyFill="1" applyBorder="1" applyAlignment="1" quotePrefix="1">
      <alignment horizontal="center" vertical="center" wrapText="1"/>
    </xf>
    <xf numFmtId="0" fontId="0" fillId="33" borderId="29" xfId="0" applyFill="1" applyBorder="1" applyAlignment="1">
      <alignment vertical="center" wrapText="1"/>
    </xf>
    <xf numFmtId="168" fontId="0" fillId="34" borderId="14" xfId="0" applyNumberForma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14" fontId="6" fillId="0" borderId="0" xfId="0" applyNumberFormat="1" applyFont="1" applyAlignment="1">
      <alignment horizontal="centerContinuous"/>
    </xf>
    <xf numFmtId="20" fontId="0" fillId="0" borderId="0" xfId="0" applyNumberFormat="1" applyAlignment="1">
      <alignment horizontal="centerContinuous"/>
    </xf>
    <xf numFmtId="0" fontId="0" fillId="0" borderId="0" xfId="0" applyFont="1" applyAlignment="1">
      <alignment vertical="center" wrapText="1"/>
    </xf>
    <xf numFmtId="4" fontId="1" fillId="0" borderId="12" xfId="0" applyNumberFormat="1" applyFont="1" applyFill="1" applyBorder="1" applyAlignment="1">
      <alignment/>
    </xf>
    <xf numFmtId="0" fontId="0" fillId="34" borderId="0" xfId="0" applyFill="1" applyBorder="1" applyAlignment="1">
      <alignment horizontal="centerContinuous" vertical="center"/>
    </xf>
    <xf numFmtId="168" fontId="0" fillId="34" borderId="33" xfId="0" applyNumberFormat="1" applyFill="1" applyBorder="1" applyAlignment="1">
      <alignment vertical="center"/>
    </xf>
    <xf numFmtId="168" fontId="0" fillId="34" borderId="0" xfId="0" applyNumberFormat="1" applyFill="1" applyBorder="1" applyAlignment="1">
      <alignment vertical="center"/>
    </xf>
    <xf numFmtId="171" fontId="0" fillId="34" borderId="0" xfId="0" applyNumberFormat="1" applyFill="1" applyAlignment="1">
      <alignment horizontal="right" vertical="center"/>
    </xf>
    <xf numFmtId="0" fontId="0" fillId="34" borderId="0" xfId="0" applyFill="1" applyBorder="1" applyAlignment="1">
      <alignment vertical="center"/>
    </xf>
    <xf numFmtId="10" fontId="0" fillId="34" borderId="0" xfId="0" applyNumberFormat="1" applyFill="1" applyAlignment="1">
      <alignment horizontal="center" vertical="center"/>
    </xf>
    <xf numFmtId="0" fontId="0" fillId="0" borderId="34" xfId="0" applyFill="1" applyBorder="1" applyAlignment="1">
      <alignment/>
    </xf>
    <xf numFmtId="0" fontId="11" fillId="0" borderId="34" xfId="0" applyFont="1" applyFill="1" applyBorder="1" applyAlignment="1">
      <alignment horizontal="centerContinuous"/>
    </xf>
    <xf numFmtId="0" fontId="0" fillId="0" borderId="34" xfId="0" applyFill="1" applyBorder="1" applyAlignment="1">
      <alignment horizontal="centerContinuous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2" fontId="2" fillId="0" borderId="11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3" borderId="0" xfId="0" applyFont="1" applyFill="1" applyAlignment="1">
      <alignment/>
    </xf>
    <xf numFmtId="1" fontId="6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13" fillId="0" borderId="11" xfId="0" applyFont="1" applyBorder="1" applyAlignment="1">
      <alignment/>
    </xf>
    <xf numFmtId="0" fontId="14" fillId="0" borderId="0" xfId="0" applyFont="1" applyAlignment="1">
      <alignment horizontal="centerContinuous"/>
    </xf>
    <xf numFmtId="0" fontId="13" fillId="0" borderId="34" xfId="0" applyFont="1" applyFill="1" applyBorder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 vertical="center" wrapText="1"/>
    </xf>
    <xf numFmtId="4" fontId="0" fillId="35" borderId="11" xfId="0" applyNumberForma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0" fillId="0" borderId="35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0" fontId="0" fillId="0" borderId="18" xfId="0" applyNumberFormat="1" applyFont="1" applyFill="1" applyBorder="1" applyAlignment="1">
      <alignment/>
    </xf>
    <xf numFmtId="168" fontId="0" fillId="0" borderId="18" xfId="0" applyNumberFormat="1" applyFont="1" applyFill="1" applyBorder="1" applyAlignment="1">
      <alignment/>
    </xf>
    <xf numFmtId="10" fontId="0" fillId="0" borderId="18" xfId="0" applyNumberFormat="1" applyFont="1" applyFill="1" applyBorder="1" applyAlignment="1">
      <alignment/>
    </xf>
    <xf numFmtId="0" fontId="0" fillId="0" borderId="18" xfId="0" applyNumberFormat="1" applyFont="1" applyBorder="1" applyAlignment="1">
      <alignment horizontal="right"/>
    </xf>
    <xf numFmtId="168" fontId="0" fillId="0" borderId="17" xfId="0" applyNumberFormat="1" applyFont="1" applyFill="1" applyBorder="1" applyAlignment="1">
      <alignment/>
    </xf>
    <xf numFmtId="14" fontId="0" fillId="0" borderId="17" xfId="0" applyNumberFormat="1" applyFont="1" applyFill="1" applyBorder="1" applyAlignment="1">
      <alignment/>
    </xf>
    <xf numFmtId="171" fontId="0" fillId="0" borderId="36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14" fontId="0" fillId="34" borderId="28" xfId="0" applyNumberFormat="1" applyFont="1" applyFill="1" applyBorder="1" applyAlignment="1">
      <alignment/>
    </xf>
    <xf numFmtId="0" fontId="0" fillId="34" borderId="28" xfId="0" applyNumberFormat="1" applyFont="1" applyFill="1" applyBorder="1" applyAlignment="1">
      <alignment/>
    </xf>
    <xf numFmtId="14" fontId="0" fillId="34" borderId="0" xfId="0" applyNumberFormat="1" applyFont="1" applyFill="1" applyAlignment="1">
      <alignment/>
    </xf>
    <xf numFmtId="4" fontId="0" fillId="34" borderId="28" xfId="0" applyNumberFormat="1" applyFont="1" applyFill="1" applyBorder="1" applyAlignment="1">
      <alignment/>
    </xf>
    <xf numFmtId="4" fontId="0" fillId="34" borderId="0" xfId="0" applyNumberFormat="1" applyFont="1" applyFill="1" applyAlignment="1">
      <alignment/>
    </xf>
    <xf numFmtId="0" fontId="0" fillId="36" borderId="28" xfId="0" applyFont="1" applyFill="1" applyBorder="1" applyAlignment="1">
      <alignment/>
    </xf>
    <xf numFmtId="0" fontId="0" fillId="34" borderId="31" xfId="0" applyFont="1" applyFill="1" applyBorder="1" applyAlignment="1">
      <alignment/>
    </xf>
    <xf numFmtId="0" fontId="0" fillId="33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8" fontId="16" fillId="0" borderId="18" xfId="0" applyNumberFormat="1" applyFont="1" applyFill="1" applyBorder="1" applyAlignment="1">
      <alignment/>
    </xf>
    <xf numFmtId="168" fontId="16" fillId="0" borderId="17" xfId="0" applyNumberFormat="1" applyFont="1" applyFill="1" applyBorder="1" applyAlignment="1">
      <alignment/>
    </xf>
    <xf numFmtId="170" fontId="0" fillId="0" borderId="18" xfId="0" applyNumberFormat="1" applyFont="1" applyBorder="1" applyAlignment="1">
      <alignment horizontal="right"/>
    </xf>
    <xf numFmtId="0" fontId="13" fillId="0" borderId="34" xfId="0" applyFont="1" applyFill="1" applyBorder="1" applyAlignment="1">
      <alignment horizontal="center"/>
    </xf>
    <xf numFmtId="2" fontId="15" fillId="0" borderId="24" xfId="0" applyNumberFormat="1" applyFont="1" applyBorder="1" applyAlignment="1">
      <alignment horizontal="left" vertical="center" wrapText="1"/>
    </xf>
    <xf numFmtId="2" fontId="15" fillId="0" borderId="0" xfId="0" applyNumberFormat="1" applyFont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Процент оценки вложений по видам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data!$C$42:$C$46</c:f>
              <c:strCache>
                <c:ptCount val="5"/>
                <c:pt idx="0">
                  <c:v>акции - 294755990.00%</c:v>
                </c:pt>
                <c:pt idx="1">
                  <c:v>облигации предприятий и организаций - 264568280.00%</c:v>
                </c:pt>
                <c:pt idx="2">
                  <c:v>денежные средства у брокера - 3353193.00%</c:v>
                </c:pt>
                <c:pt idx="3">
                  <c:v>депозиты - 910040984.00%</c:v>
                </c:pt>
                <c:pt idx="4">
                  <c:v>прочие вложения - 7248900.00%</c:v>
                </c:pt>
              </c:strCache>
            </c:strRef>
          </c:cat>
          <c:val>
            <c:numRef>
              <c:f>data!$D$42:$D$46</c:f>
              <c:numCache>
                <c:ptCount val="5"/>
                <c:pt idx="0">
                  <c:v>2947559.9000000004</c:v>
                </c:pt>
                <c:pt idx="1">
                  <c:v>2645682.8000000003</c:v>
                </c:pt>
                <c:pt idx="2">
                  <c:v>33531.93</c:v>
                </c:pt>
                <c:pt idx="3">
                  <c:v>9100409.84</c:v>
                </c:pt>
                <c:pt idx="4">
                  <c:v>72489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Процент оценки вложений по видам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data!$C$42:$C$46</c:f>
              <c:strCache>
                <c:ptCount val="5"/>
                <c:pt idx="0">
                  <c:v>акции - 294755990.00%</c:v>
                </c:pt>
                <c:pt idx="1">
                  <c:v>облигации предприятий и организаций - 264568280.00%</c:v>
                </c:pt>
                <c:pt idx="2">
                  <c:v>денежные средства у брокера - 3353193.00%</c:v>
                </c:pt>
                <c:pt idx="3">
                  <c:v>депозиты - 910040984.00%</c:v>
                </c:pt>
                <c:pt idx="4">
                  <c:v>прочие вложения - 7248900.00%</c:v>
                </c:pt>
              </c:strCache>
            </c:strRef>
          </c:cat>
          <c:val>
            <c:numRef>
              <c:f>data!$D$42:$D$46</c:f>
              <c:numCache>
                <c:ptCount val="5"/>
                <c:pt idx="0">
                  <c:v>2947559.9000000004</c:v>
                </c:pt>
                <c:pt idx="1">
                  <c:v>2645682.8000000003</c:v>
                </c:pt>
                <c:pt idx="2">
                  <c:v>33531.93</c:v>
                </c:pt>
                <c:pt idx="3">
                  <c:v>9100409.84</c:v>
                </c:pt>
                <c:pt idx="4">
                  <c:v>72489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\\dcd-sql-uk\SPECTRE\REPORT\OPEN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\\dcd-sql-uk\SPECTRE\REPORT\OPEN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57</xdr:row>
      <xdr:rowOff>85725</xdr:rowOff>
    </xdr:from>
    <xdr:to>
      <xdr:col>17</xdr:col>
      <xdr:colOff>0</xdr:colOff>
      <xdr:row>75</xdr:row>
      <xdr:rowOff>9525</xdr:rowOff>
    </xdr:to>
    <xdr:graphicFrame>
      <xdr:nvGraphicFramePr>
        <xdr:cNvPr id="1" name="Chart 5"/>
        <xdr:cNvGraphicFramePr/>
      </xdr:nvGraphicFramePr>
      <xdr:xfrm>
        <a:off x="104775" y="8086725"/>
        <a:ext cx="16402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133350</xdr:colOff>
      <xdr:row>10</xdr:row>
      <xdr:rowOff>0</xdr:rowOff>
    </xdr:to>
    <xdr:pic>
      <xdr:nvPicPr>
        <xdr:cNvPr id="2" name="OPEN.png" descr="\\dcd-sql-uk\SPECTRE\REPORT\OPEN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5725" y="0"/>
          <a:ext cx="32766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38</xdr:row>
      <xdr:rowOff>85725</xdr:rowOff>
    </xdr:from>
    <xdr:to>
      <xdr:col>17</xdr:col>
      <xdr:colOff>990600</xdr:colOff>
      <xdr:row>56</xdr:row>
      <xdr:rowOff>9525</xdr:rowOff>
    </xdr:to>
    <xdr:graphicFrame>
      <xdr:nvGraphicFramePr>
        <xdr:cNvPr id="1" name="Chart 5"/>
        <xdr:cNvGraphicFramePr/>
      </xdr:nvGraphicFramePr>
      <xdr:xfrm>
        <a:off x="104775" y="5048250"/>
        <a:ext cx="1713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133350</xdr:colOff>
      <xdr:row>10</xdr:row>
      <xdr:rowOff>0</xdr:rowOff>
    </xdr:to>
    <xdr:pic>
      <xdr:nvPicPr>
        <xdr:cNvPr id="2" name="OPEN.png" descr="\\dcd-sql-uk\SPECTRE\REPORT\OPEN.pn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85725" y="0"/>
          <a:ext cx="32766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9"/>
  <sheetViews>
    <sheetView showGridLines="0" tabSelected="1" zoomScale="80" zoomScaleNormal="80" zoomScalePageLayoutView="0" workbookViewId="0" topLeftCell="A1">
      <selection activeCell="R1" sqref="R1:R16384"/>
    </sheetView>
  </sheetViews>
  <sheetFormatPr defaultColWidth="9.00390625" defaultRowHeight="12.75"/>
  <cols>
    <col min="1" max="1" width="1.12109375" style="1" customWidth="1"/>
    <col min="2" max="2" width="7.00390625" style="1" customWidth="1"/>
    <col min="3" max="3" width="6.375" style="1" customWidth="1"/>
    <col min="4" max="4" width="27.875" style="1" customWidth="1"/>
    <col min="5" max="6" width="15.625" style="1" bestFit="1" customWidth="1"/>
    <col min="7" max="7" width="10.875" style="1" bestFit="1" customWidth="1"/>
    <col min="8" max="8" width="12.25390625" style="1" bestFit="1" customWidth="1"/>
    <col min="9" max="9" width="17.00390625" style="1" bestFit="1" customWidth="1"/>
    <col min="10" max="10" width="12.375" style="1" customWidth="1"/>
    <col min="11" max="11" width="13.375" style="1" bestFit="1" customWidth="1"/>
    <col min="12" max="12" width="10.875" style="1" bestFit="1" customWidth="1"/>
    <col min="13" max="13" width="17.375" style="1" bestFit="1" customWidth="1"/>
    <col min="14" max="14" width="15.875" style="1" bestFit="1" customWidth="1"/>
    <col min="15" max="15" width="9.625" style="1" customWidth="1"/>
    <col min="16" max="16" width="11.625" style="1" customWidth="1"/>
    <col min="17" max="17" width="11.75390625" style="1" customWidth="1"/>
    <col min="18" max="18" width="8.125" style="1" hidden="1" customWidth="1"/>
    <col min="19" max="19" width="8.625" style="1" hidden="1" customWidth="1"/>
    <col min="20" max="20" width="11.625" style="1" hidden="1" customWidth="1"/>
    <col min="21" max="22" width="10.75390625" style="1" hidden="1" customWidth="1"/>
    <col min="23" max="23" width="8.00390625" style="1" hidden="1" customWidth="1"/>
    <col min="24" max="24" width="6.125" style="1" hidden="1" customWidth="1"/>
    <col min="25" max="25" width="0.74609375" style="1" hidden="1" customWidth="1"/>
    <col min="26" max="26" width="11.125" style="1" hidden="1" customWidth="1"/>
    <col min="27" max="29" width="10.625" style="1" hidden="1" customWidth="1"/>
    <col min="30" max="30" width="12.625" style="1" hidden="1" customWidth="1"/>
    <col min="31" max="32" width="9.125" style="1" hidden="1" customWidth="1"/>
    <col min="33" max="33" width="14.625" style="1" hidden="1" customWidth="1"/>
    <col min="34" max="35" width="10.625" style="1" hidden="1" customWidth="1"/>
    <col min="36" max="36" width="11.75390625" style="1" hidden="1" customWidth="1"/>
    <col min="37" max="37" width="9.125" style="1" hidden="1" customWidth="1"/>
    <col min="38" max="16384" width="9.125" style="1" customWidth="1"/>
  </cols>
  <sheetData>
    <row r="1" spans="2:37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2:37" ht="12.75">
      <c r="B2" s="3"/>
      <c r="C2" s="3"/>
      <c r="D2" s="3"/>
      <c r="E2" s="33" t="str">
        <f>data!B6</f>
        <v>Общество с ограниченной ответственностью "Управляющая компания "ОТКРЫТИЕ"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2:37" ht="12.75">
      <c r="B3" s="3"/>
      <c r="C3" s="3"/>
      <c r="D3" s="3"/>
      <c r="E3" s="33" t="str">
        <f>data!B9</f>
        <v>Лицензия УК № 21-000-1-00048 от 11.04.2001г.; лицензия ДУ № 077-07524-001000 от 23.03.2004г.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2:37" ht="12.75">
      <c r="B4" s="3"/>
      <c r="C4" s="3"/>
      <c r="D4" s="3"/>
      <c r="E4" s="33" t="str">
        <f>data!B10</f>
        <v>119021, г. Москва, ул. Тимура Фрунзе, д. 11, стр. 13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2:37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</row>
    <row r="6" spans="2:37" ht="18">
      <c r="B6" s="3"/>
      <c r="C6" s="3"/>
      <c r="D6" s="3"/>
      <c r="E6" s="58" t="s">
        <v>101</v>
      </c>
      <c r="F6" s="58"/>
      <c r="G6" s="30"/>
      <c r="H6" s="30"/>
      <c r="I6" s="30"/>
      <c r="J6" s="30"/>
      <c r="K6" s="30"/>
      <c r="L6" s="30"/>
      <c r="M6" s="30"/>
      <c r="N6" s="30"/>
      <c r="O6"/>
      <c r="P6"/>
      <c r="Q6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2:37" ht="15">
      <c r="B7" s="2"/>
      <c r="C7" s="4"/>
      <c r="D7" s="3"/>
      <c r="E7" s="59" t="str">
        <f>"на "&amp;TEXT(data!B1,"ДД.ММ.ГГГГ")&amp;" "&amp;TEXT(data!B2,"ч:мм")</f>
        <v>на 31.03.2012 23:59</v>
      </c>
      <c r="F7" s="59"/>
      <c r="G7" s="60"/>
      <c r="H7" s="30"/>
      <c r="I7" s="30"/>
      <c r="J7" s="30"/>
      <c r="K7" s="30"/>
      <c r="L7" s="30"/>
      <c r="M7" s="30"/>
      <c r="N7" s="30"/>
      <c r="O7"/>
      <c r="P7"/>
      <c r="Q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2:37" ht="12.75">
      <c r="B8" s="2"/>
      <c r="C8" s="4"/>
      <c r="D8"/>
      <c r="E8"/>
      <c r="F8"/>
      <c r="G8"/>
      <c r="H8"/>
      <c r="I8"/>
      <c r="J8"/>
      <c r="K8"/>
      <c r="L8"/>
      <c r="M8"/>
      <c r="N8"/>
      <c r="O8"/>
      <c r="P8"/>
      <c r="Q8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2:37" ht="14.25">
      <c r="B9" s="2"/>
      <c r="C9" s="31"/>
      <c r="D9" s="30"/>
      <c r="E9" s="32" t="str">
        <f>"Инвестор: "&amp;data!B4</f>
        <v>Инвестор: Фонд собственник целевого капитала "Эндаумент НГУ"</v>
      </c>
      <c r="F9" s="32"/>
      <c r="G9" s="30"/>
      <c r="H9" s="30"/>
      <c r="I9" s="30"/>
      <c r="J9" s="30"/>
      <c r="K9" s="30"/>
      <c r="L9" s="30"/>
      <c r="M9" s="30"/>
      <c r="N9" s="81">
        <f>IF(OR(data!B13="",data!B13=" "),"","ИНФОРМАЦИОННЫЙ")</f>
      </c>
      <c r="O9" s="30"/>
      <c r="P9" s="30"/>
      <c r="Q9" s="3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2:37" ht="12.75">
      <c r="B10" s="2"/>
      <c r="C10" s="32"/>
      <c r="D10" s="32"/>
      <c r="E10" s="32" t="str">
        <f>"Договор: "&amp;data!B5</f>
        <v>Договор: 235-ЦК от 19.07.2011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2:37" ht="6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2:37" ht="12.75">
      <c r="B12" s="2"/>
      <c r="C12" s="2"/>
      <c r="D12" s="2"/>
      <c r="E12" s="114">
        <f>IF(OR(data!B13="",data!B13=" "),"","Способ взятия котировки: "&amp;data!B14)</f>
      </c>
      <c r="F12" s="114"/>
      <c r="G12" s="114"/>
      <c r="H12" s="114"/>
      <c r="I12" s="114"/>
      <c r="J12" s="114"/>
      <c r="K12" s="114"/>
      <c r="L12" s="114"/>
      <c r="M12" s="114"/>
      <c r="N12" s="114"/>
      <c r="O12" s="82"/>
      <c r="P12" s="2"/>
      <c r="Q12" s="110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2:37" ht="52.5" customHeight="1">
      <c r="B13" s="18" t="s">
        <v>89</v>
      </c>
      <c r="C13" s="19"/>
      <c r="D13" s="19"/>
      <c r="E13" s="56" t="s">
        <v>90</v>
      </c>
      <c r="F13" s="56" t="s">
        <v>134</v>
      </c>
      <c r="G13" s="56" t="s">
        <v>18</v>
      </c>
      <c r="H13" s="20" t="s">
        <v>0</v>
      </c>
      <c r="I13" s="20" t="s">
        <v>75</v>
      </c>
      <c r="J13" s="20" t="s">
        <v>77</v>
      </c>
      <c r="K13" s="20" t="s">
        <v>38</v>
      </c>
      <c r="L13" s="20" t="s">
        <v>11</v>
      </c>
      <c r="M13" s="20" t="s">
        <v>91</v>
      </c>
      <c r="N13" s="20" t="s">
        <v>74</v>
      </c>
      <c r="O13" s="40" t="s">
        <v>51</v>
      </c>
      <c r="P13" s="40" t="s">
        <v>60</v>
      </c>
      <c r="Q13" s="40" t="s">
        <v>135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2:37" ht="12.75">
      <c r="B14" s="13" t="s">
        <v>1</v>
      </c>
      <c r="C14" s="14"/>
      <c r="D14" s="15"/>
      <c r="E14" s="16" t="s">
        <v>2</v>
      </c>
      <c r="F14" s="15" t="s">
        <v>3</v>
      </c>
      <c r="G14" s="17" t="s">
        <v>4</v>
      </c>
      <c r="H14" s="17" t="s">
        <v>5</v>
      </c>
      <c r="I14" s="17" t="s">
        <v>14</v>
      </c>
      <c r="J14" s="17" t="s">
        <v>15</v>
      </c>
      <c r="K14" s="17" t="s">
        <v>22</v>
      </c>
      <c r="L14" s="17" t="s">
        <v>92</v>
      </c>
      <c r="M14" s="17" t="s">
        <v>93</v>
      </c>
      <c r="N14" s="17" t="s">
        <v>94</v>
      </c>
      <c r="O14" s="17" t="s">
        <v>95</v>
      </c>
      <c r="P14" s="17">
        <v>13</v>
      </c>
      <c r="Q14" s="17" t="s">
        <v>136</v>
      </c>
      <c r="R14" s="22" t="s">
        <v>16</v>
      </c>
      <c r="S14" s="29" t="s">
        <v>17</v>
      </c>
      <c r="T14" s="29" t="s">
        <v>27</v>
      </c>
      <c r="U14" s="29" t="s">
        <v>13</v>
      </c>
      <c r="V14" s="29" t="s">
        <v>23</v>
      </c>
      <c r="W14" s="29" t="s">
        <v>12</v>
      </c>
      <c r="X14" s="29" t="s">
        <v>21</v>
      </c>
      <c r="Y14" s="29" t="s">
        <v>72</v>
      </c>
      <c r="Z14" s="5" t="s">
        <v>58</v>
      </c>
      <c r="AA14" s="29" t="s">
        <v>59</v>
      </c>
      <c r="AB14" s="29" t="s">
        <v>88</v>
      </c>
      <c r="AC14" s="29" t="s">
        <v>78</v>
      </c>
      <c r="AD14" s="5" t="s">
        <v>49</v>
      </c>
      <c r="AE14" s="29" t="s">
        <v>53</v>
      </c>
      <c r="AF14" s="29" t="s">
        <v>54</v>
      </c>
      <c r="AG14" s="29" t="s">
        <v>61</v>
      </c>
      <c r="AH14" s="29" t="s">
        <v>108</v>
      </c>
      <c r="AI14" s="29"/>
      <c r="AJ14" s="29" t="s">
        <v>55</v>
      </c>
      <c r="AK14" s="45" t="s">
        <v>20</v>
      </c>
    </row>
    <row r="15" spans="2:37" s="109" customFormat="1" ht="12.75">
      <c r="B15" s="89" t="s">
        <v>223</v>
      </c>
      <c r="C15" s="90"/>
      <c r="D15" s="90"/>
      <c r="E15" s="91" t="s">
        <v>165</v>
      </c>
      <c r="F15" s="91" t="s">
        <v>169</v>
      </c>
      <c r="G15" s="92" t="s">
        <v>167</v>
      </c>
      <c r="H15" s="93">
        <v>3270</v>
      </c>
      <c r="I15" s="111">
        <v>591628.49</v>
      </c>
      <c r="J15" s="94">
        <v>0</v>
      </c>
      <c r="K15" s="95">
        <f>IF(IsPercent=1,"",IF(I$40=0,0,I15/I$40))</f>
        <v>0.03997231241255954</v>
      </c>
      <c r="L15" s="96" t="str">
        <f>IF(AND(AC15&lt;&gt;0,U15&lt;&gt;0),TEXT(U15,"ДД.ММ.ГГГГ"),"")</f>
        <v>30.03.2012</v>
      </c>
      <c r="M15" s="113">
        <f>IF(OR(T15="ПОРТФЕЛЬ-2",T15="ПОРТФЕЛЬ"),IF(H15&lt;&gt;0,N15/H15,0),IF(T15="НКД",AE15,""))</f>
        <v>180.75</v>
      </c>
      <c r="N15" s="112">
        <f>IF(AK15="",IF(G15="Опцион",AB15*H15,I15),AC15)</f>
        <v>591052.5</v>
      </c>
      <c r="O15" s="95">
        <f>IF(IsPercent=1,"",IF(N$40=0,0,N15/N$40))</f>
        <v>0.03993686085021442</v>
      </c>
      <c r="P15" s="98"/>
      <c r="Q15" s="112">
        <f>N15-I15</f>
        <v>-575.9899999999907</v>
      </c>
      <c r="R15" s="100">
        <v>58</v>
      </c>
      <c r="S15" s="101">
        <v>1</v>
      </c>
      <c r="T15" s="101" t="s">
        <v>28</v>
      </c>
      <c r="U15" s="102">
        <v>40998</v>
      </c>
      <c r="V15" s="103">
        <v>3270</v>
      </c>
      <c r="W15" s="101" t="s">
        <v>166</v>
      </c>
      <c r="X15" s="101" t="s">
        <v>167</v>
      </c>
      <c r="Y15" s="101" t="s">
        <v>165</v>
      </c>
      <c r="Z15" s="104" t="s">
        <v>168</v>
      </c>
      <c r="AA15" s="102" t="s">
        <v>164</v>
      </c>
      <c r="AB15" s="105">
        <v>5</v>
      </c>
      <c r="AC15" s="97">
        <v>591052.5</v>
      </c>
      <c r="AD15" s="106">
        <v>0</v>
      </c>
      <c r="AE15" s="107">
        <v>0</v>
      </c>
      <c r="AF15" s="107" t="s">
        <v>151</v>
      </c>
      <c r="AG15" s="107" t="s">
        <v>151</v>
      </c>
      <c r="AH15" s="101"/>
      <c r="AI15" s="101" t="e">
        <f>IF(#REF!="","",AC15+AE15*V15)</f>
        <v>#REF!</v>
      </c>
      <c r="AJ15" s="105" t="e">
        <f>IF(#REF!="","",#REF!*(AC15+AE15*V15))</f>
        <v>#REF!</v>
      </c>
      <c r="AK15" s="108">
        <f>IF(T15="Р/С-С",9,IF(T15="РЕПО-282",11,IF(X15="Акция",1,IF(X15="Облигация",IF(AH15=1,6,IF(AG15=1,2,IF(AG15=2,3,IF(AG15=3,4,5)))),IF(X15="Вексель",7,IF(X15="Пай",8,IF(OR(T15="ДЕПОЗИТЫ",X15="Банковский сертификат"),10,100)))))))</f>
        <v>1</v>
      </c>
    </row>
    <row r="16" spans="2:37" s="109" customFormat="1" ht="12.75">
      <c r="B16" s="89" t="s">
        <v>225</v>
      </c>
      <c r="C16" s="90"/>
      <c r="D16" s="90"/>
      <c r="E16" s="91" t="s">
        <v>176</v>
      </c>
      <c r="F16" s="91" t="s">
        <v>179</v>
      </c>
      <c r="G16" s="92" t="s">
        <v>167</v>
      </c>
      <c r="H16" s="93">
        <v>329</v>
      </c>
      <c r="I16" s="111">
        <v>591061.62</v>
      </c>
      <c r="J16" s="94">
        <v>0</v>
      </c>
      <c r="K16" s="95">
        <f>IF(IsPercent=1,"",IF(I$40=0,0,I16/I$40))</f>
        <v>0.039934012862892304</v>
      </c>
      <c r="L16" s="96" t="str">
        <f>IF(AND(AC16&lt;&gt;0,U16&lt;&gt;0),TEXT(U16,"ДД.ММ.ГГГГ"),"")</f>
        <v>30.03.2012</v>
      </c>
      <c r="M16" s="113">
        <f>IF(OR(T16="ПОРТФЕЛЬ-2",T16="ПОРТФЕЛЬ"),IF(H16&lt;&gt;0,N16/H16,0),IF(T16="НКД",AE16,""))</f>
        <v>1790.2</v>
      </c>
      <c r="N16" s="112">
        <f>IF(AK16="",IF(G16="Опцион",AB16*H16,I16),AC16)</f>
        <v>588975.8</v>
      </c>
      <c r="O16" s="95">
        <f>IF(IsPercent=1,"",IF(N$40=0,0,N16/N$40))</f>
        <v>0.03979654018677481</v>
      </c>
      <c r="P16" s="98"/>
      <c r="Q16" s="112">
        <f>N16-I16</f>
        <v>-2085.819999999949</v>
      </c>
      <c r="R16" s="100">
        <v>58</v>
      </c>
      <c r="S16" s="101">
        <v>1</v>
      </c>
      <c r="T16" s="101" t="s">
        <v>28</v>
      </c>
      <c r="U16" s="102">
        <v>40998</v>
      </c>
      <c r="V16" s="103">
        <v>329</v>
      </c>
      <c r="W16" s="101" t="s">
        <v>177</v>
      </c>
      <c r="X16" s="101" t="s">
        <v>167</v>
      </c>
      <c r="Y16" s="101" t="s">
        <v>176</v>
      </c>
      <c r="Z16" s="104" t="s">
        <v>178</v>
      </c>
      <c r="AA16" s="102" t="s">
        <v>175</v>
      </c>
      <c r="AB16" s="105">
        <v>0.025</v>
      </c>
      <c r="AC16" s="97">
        <v>588975.8</v>
      </c>
      <c r="AD16" s="106">
        <v>0</v>
      </c>
      <c r="AE16" s="107">
        <v>0</v>
      </c>
      <c r="AF16" s="107" t="s">
        <v>151</v>
      </c>
      <c r="AG16" s="107" t="s">
        <v>151</v>
      </c>
      <c r="AH16" s="101"/>
      <c r="AI16" s="101" t="e">
        <f>IF(#REF!="","",AC16+AE16*V16)</f>
        <v>#REF!</v>
      </c>
      <c r="AJ16" s="105" t="e">
        <f>IF(#REF!="","",#REF!*(AC16+AE16*V16))</f>
        <v>#REF!</v>
      </c>
      <c r="AK16" s="108">
        <f>IF(T16="Р/С-С",9,IF(T16="РЕПО-282",11,IF(X16="Акция",1,IF(X16="Облигация",IF(AH16=1,6,IF(AG16=1,2,IF(AG16=2,3,IF(AG16=3,4,5)))),IF(X16="Вексель",7,IF(X16="Пай",8,IF(OR(T16="ДЕПОЗИТЫ",X16="Банковский сертификат"),10,100)))))))</f>
        <v>1</v>
      </c>
    </row>
    <row r="17" spans="2:37" s="109" customFormat="1" ht="12.75">
      <c r="B17" s="89" t="s">
        <v>224</v>
      </c>
      <c r="C17" s="90"/>
      <c r="D17" s="90"/>
      <c r="E17" s="91" t="s">
        <v>171</v>
      </c>
      <c r="F17" s="91" t="s">
        <v>174</v>
      </c>
      <c r="G17" s="92" t="s">
        <v>167</v>
      </c>
      <c r="H17" s="93">
        <v>108</v>
      </c>
      <c r="I17" s="111">
        <v>588776.94</v>
      </c>
      <c r="J17" s="94">
        <v>0</v>
      </c>
      <c r="K17" s="95">
        <f>IF(IsPercent=1,"",IF(I$40=0,0,I17/I$40))</f>
        <v>0.039779652577229374</v>
      </c>
      <c r="L17" s="96" t="str">
        <f>IF(AND(AC17&lt;&gt;0,U17&lt;&gt;0),TEXT(U17,"ДД.ММ.ГГГГ"),"")</f>
        <v>30.03.2012</v>
      </c>
      <c r="M17" s="113">
        <f>IF(OR(T17="ПОРТФЕЛЬ-2",T17="ПОРТФЕЛЬ"),IF(H17&lt;&gt;0,N17/H17,0),IF(T17="НКД",AE17,""))</f>
        <v>5438</v>
      </c>
      <c r="N17" s="112">
        <f>IF(AK17="",IF(G17="Опцион",AB17*H17,I17),AC17)</f>
        <v>587304</v>
      </c>
      <c r="O17" s="95">
        <f>IF(IsPercent=1,"",IF(N$40=0,0,N17/N$40))</f>
        <v>0.039683578235054126</v>
      </c>
      <c r="P17" s="98"/>
      <c r="Q17" s="112">
        <f>N17-I17</f>
        <v>-1472.9399999999441</v>
      </c>
      <c r="R17" s="100">
        <v>58</v>
      </c>
      <c r="S17" s="101">
        <v>1</v>
      </c>
      <c r="T17" s="101" t="s">
        <v>28</v>
      </c>
      <c r="U17" s="102">
        <v>40998</v>
      </c>
      <c r="V17" s="103">
        <v>108</v>
      </c>
      <c r="W17" s="101" t="s">
        <v>172</v>
      </c>
      <c r="X17" s="101" t="s">
        <v>167</v>
      </c>
      <c r="Y17" s="101" t="s">
        <v>171</v>
      </c>
      <c r="Z17" s="104" t="s">
        <v>173</v>
      </c>
      <c r="AA17" s="102" t="s">
        <v>170</v>
      </c>
      <c r="AB17" s="105">
        <v>1</v>
      </c>
      <c r="AC17" s="97">
        <v>587304</v>
      </c>
      <c r="AD17" s="106">
        <v>0</v>
      </c>
      <c r="AE17" s="107">
        <v>0</v>
      </c>
      <c r="AF17" s="107" t="s">
        <v>151</v>
      </c>
      <c r="AG17" s="107" t="s">
        <v>151</v>
      </c>
      <c r="AH17" s="101"/>
      <c r="AI17" s="101" t="e">
        <f>IF(#REF!="","",AC17+AE17*V17)</f>
        <v>#REF!</v>
      </c>
      <c r="AJ17" s="105" t="e">
        <f>IF(#REF!="","",#REF!*(AC17+AE17*V17))</f>
        <v>#REF!</v>
      </c>
      <c r="AK17" s="108">
        <f>IF(T17="Р/С-С",9,IF(T17="РЕПО-282",11,IF(X17="Акция",1,IF(X17="Облигация",IF(AH17=1,6,IF(AG17=1,2,IF(AG17=2,3,IF(AG17=3,4,5)))),IF(X17="Вексель",7,IF(X17="Пай",8,IF(OR(T17="ДЕПОЗИТЫ",X17="Банковский сертификат"),10,100)))))))</f>
        <v>1</v>
      </c>
    </row>
    <row r="18" spans="2:37" s="109" customFormat="1" ht="12.75">
      <c r="B18" s="89" t="s">
        <v>226</v>
      </c>
      <c r="C18" s="90"/>
      <c r="D18" s="90"/>
      <c r="E18" s="91" t="s">
        <v>181</v>
      </c>
      <c r="F18" s="91" t="s">
        <v>184</v>
      </c>
      <c r="G18" s="92" t="s">
        <v>167</v>
      </c>
      <c r="H18" s="93">
        <v>2830</v>
      </c>
      <c r="I18" s="111">
        <v>592072.43</v>
      </c>
      <c r="J18" s="94">
        <v>0</v>
      </c>
      <c r="K18" s="95">
        <f>IF(IsPercent=1,"",IF(I$40=0,0,I18/I$40))</f>
        <v>0.0400023064183797</v>
      </c>
      <c r="L18" s="96" t="str">
        <f>IF(AND(AC18&lt;&gt;0,U18&lt;&gt;0),TEXT(U18,"ДД.ММ.ГГГГ"),"")</f>
        <v>30.03.2012</v>
      </c>
      <c r="M18" s="113">
        <f>IF(OR(T18="ПОРТФЕЛЬ-2",T18="ПОРТФЕЛЬ"),IF(H18&lt;&gt;0,N18/H18,0),IF(T18="НКД",AE18,""))</f>
        <v>209.28</v>
      </c>
      <c r="N18" s="112">
        <f>IF(AK18="",IF(G18="Опцион",AB18*H18,I18),AC18)</f>
        <v>592262.4</v>
      </c>
      <c r="O18" s="95">
        <f>IF(IsPercent=1,"",IF(N$40=0,0,N18/N$40))</f>
        <v>0.04001861265389121</v>
      </c>
      <c r="P18" s="98"/>
      <c r="Q18" s="112">
        <f>N18-I18</f>
        <v>189.96999999997206</v>
      </c>
      <c r="R18" s="100">
        <v>58</v>
      </c>
      <c r="S18" s="101">
        <v>1</v>
      </c>
      <c r="T18" s="101" t="s">
        <v>28</v>
      </c>
      <c r="U18" s="102">
        <v>40998</v>
      </c>
      <c r="V18" s="103">
        <v>2830</v>
      </c>
      <c r="W18" s="101" t="s">
        <v>182</v>
      </c>
      <c r="X18" s="101" t="s">
        <v>167</v>
      </c>
      <c r="Y18" s="101" t="s">
        <v>181</v>
      </c>
      <c r="Z18" s="104" t="s">
        <v>183</v>
      </c>
      <c r="AA18" s="102" t="s">
        <v>180</v>
      </c>
      <c r="AB18" s="105">
        <v>0.01</v>
      </c>
      <c r="AC18" s="97">
        <v>592262.4</v>
      </c>
      <c r="AD18" s="106">
        <v>0</v>
      </c>
      <c r="AE18" s="107">
        <v>0</v>
      </c>
      <c r="AF18" s="107" t="s">
        <v>151</v>
      </c>
      <c r="AG18" s="107" t="s">
        <v>151</v>
      </c>
      <c r="AH18" s="101"/>
      <c r="AI18" s="101" t="e">
        <f>IF(#REF!="","",AC18+AE18*V18)</f>
        <v>#REF!</v>
      </c>
      <c r="AJ18" s="105" t="e">
        <f>IF(#REF!="","",#REF!*(AC18+AE18*V18))</f>
        <v>#REF!</v>
      </c>
      <c r="AK18" s="108">
        <f>IF(T18="Р/С-С",9,IF(T18="РЕПО-282",11,IF(X18="Акция",1,IF(X18="Облигация",IF(AH18=1,6,IF(AG18=1,2,IF(AG18=2,3,IF(AG18=3,4,5)))),IF(X18="Вексель",7,IF(X18="Пай",8,IF(OR(T18="ДЕПОЗИТЫ",X18="Банковский сертификат"),10,100)))))))</f>
        <v>1</v>
      </c>
    </row>
    <row r="19" spans="2:37" s="109" customFormat="1" ht="12.75">
      <c r="B19" s="89" t="s">
        <v>227</v>
      </c>
      <c r="C19" s="90"/>
      <c r="D19" s="90"/>
      <c r="E19" s="91" t="s">
        <v>186</v>
      </c>
      <c r="F19" s="91" t="s">
        <v>189</v>
      </c>
      <c r="G19" s="92" t="s">
        <v>167</v>
      </c>
      <c r="H19" s="93">
        <v>6180</v>
      </c>
      <c r="I19" s="111">
        <v>591603.79</v>
      </c>
      <c r="J19" s="94">
        <v>0</v>
      </c>
      <c r="K19" s="95">
        <f>IF(IsPercent=1,"",IF(I$40=0,0,I19/I$40))</f>
        <v>0.03997064360158563</v>
      </c>
      <c r="L19" s="96" t="str">
        <f>IF(AND(AC19&lt;&gt;0,U19&lt;&gt;0),TEXT(U19,"ДД.ММ.ГГГГ"),"")</f>
        <v>30.03.2012</v>
      </c>
      <c r="M19" s="113">
        <f>IF(OR(T19="ПОРТФЕЛЬ-2",T19="ПОРТФЕЛЬ"),IF(H19&lt;&gt;0,N19/H19,0),IF(T19="НКД",AE19,""))</f>
        <v>95.13999999999999</v>
      </c>
      <c r="N19" s="112">
        <f>IF(AK19="",IF(G19="Опцион",AB19*H19,I19),AC19)</f>
        <v>587965.2</v>
      </c>
      <c r="O19" s="95">
        <f>IF(IsPercent=1,"",IF(N$40=0,0,N19/N$40))</f>
        <v>0.03972825489642373</v>
      </c>
      <c r="P19" s="98"/>
      <c r="Q19" s="112">
        <f>N19-I19</f>
        <v>-3638.590000000084</v>
      </c>
      <c r="R19" s="100">
        <v>58</v>
      </c>
      <c r="S19" s="101">
        <v>1</v>
      </c>
      <c r="T19" s="101" t="s">
        <v>28</v>
      </c>
      <c r="U19" s="102">
        <v>40998</v>
      </c>
      <c r="V19" s="103">
        <v>6180</v>
      </c>
      <c r="W19" s="101" t="s">
        <v>187</v>
      </c>
      <c r="X19" s="101" t="s">
        <v>167</v>
      </c>
      <c r="Y19" s="101" t="s">
        <v>186</v>
      </c>
      <c r="Z19" s="104" t="s">
        <v>188</v>
      </c>
      <c r="AA19" s="102" t="s">
        <v>185</v>
      </c>
      <c r="AB19" s="105">
        <v>3</v>
      </c>
      <c r="AC19" s="97">
        <v>587965.2</v>
      </c>
      <c r="AD19" s="106">
        <v>0</v>
      </c>
      <c r="AE19" s="107">
        <v>0</v>
      </c>
      <c r="AF19" s="107" t="s">
        <v>151</v>
      </c>
      <c r="AG19" s="107" t="s">
        <v>151</v>
      </c>
      <c r="AH19" s="101"/>
      <c r="AI19" s="101" t="e">
        <f>IF(#REF!="","",AC19+AE19*V19)</f>
        <v>#REF!</v>
      </c>
      <c r="AJ19" s="105" t="e">
        <f>IF(#REF!="","",#REF!*(AC19+AE19*V19))</f>
        <v>#REF!</v>
      </c>
      <c r="AK19" s="108">
        <f>IF(T19="Р/С-С",9,IF(T19="РЕПО-282",11,IF(X19="Акция",1,IF(X19="Облигация",IF(AH19=1,6,IF(AG19=1,2,IF(AG19=2,3,IF(AG19=3,4,5)))),IF(X19="Вексель",7,IF(X19="Пай",8,IF(OR(T19="ДЕПОЗИТЫ",X19="Банковский сертификат"),10,100)))))))</f>
        <v>1</v>
      </c>
    </row>
    <row r="20" spans="2:37" ht="12.75">
      <c r="B20" s="11" t="str">
        <f>data!B$41&amp;" "&amp;VLOOKUP(AK20,GroupList,2,FALSE)</f>
        <v>по всем акциям</v>
      </c>
      <c r="C20" s="12"/>
      <c r="D20" s="12"/>
      <c r="E20" s="12"/>
      <c r="F20" s="12"/>
      <c r="G20" s="12"/>
      <c r="H20" s="12"/>
      <c r="I20" s="21">
        <f>SUM(I15:I19)</f>
        <v>2955143.27</v>
      </c>
      <c r="J20" s="57"/>
      <c r="K20" s="34">
        <f>IF(I$40=0,0,I20/I$40)</f>
        <v>0.19965892787264655</v>
      </c>
      <c r="L20" s="12"/>
      <c r="M20" s="12"/>
      <c r="N20" s="21">
        <f>SUM(N15:N19)</f>
        <v>2947559.9000000004</v>
      </c>
      <c r="O20" s="41">
        <f>IF(N$40=0,0,N20/N$40)</f>
        <v>0.19916384682235833</v>
      </c>
      <c r="P20" s="44"/>
      <c r="Q20" s="21">
        <f>SUM(Q15:Q19)</f>
        <v>-7583.369999999995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39" t="e">
        <f>SUM(AJ15:AJ19)</f>
        <v>#REF!</v>
      </c>
      <c r="AK20" s="5">
        <v>1</v>
      </c>
    </row>
    <row r="21" spans="2:37" s="109" customFormat="1" ht="12.75">
      <c r="B21" s="89" t="s">
        <v>229</v>
      </c>
      <c r="C21" s="90"/>
      <c r="D21" s="90"/>
      <c r="E21" s="91" t="s">
        <v>196</v>
      </c>
      <c r="F21" s="91" t="s">
        <v>196</v>
      </c>
      <c r="G21" s="92" t="s">
        <v>100</v>
      </c>
      <c r="H21" s="93">
        <v>500</v>
      </c>
      <c r="I21" s="111">
        <v>504950</v>
      </c>
      <c r="J21" s="94">
        <v>4754.7</v>
      </c>
      <c r="K21" s="95">
        <f>IF(IsPercent=1,"",IF(I$40=0,0,I21/I$40))</f>
        <v>0.03411603648891543</v>
      </c>
      <c r="L21" s="96" t="str">
        <f>IF(AND(AC21&lt;&gt;0,U21&lt;&gt;0),TEXT(U21,"ДД.ММ.ГГГГ"),"")</f>
        <v>30.03.2012</v>
      </c>
      <c r="M21" s="113">
        <f>IF(OR(T21="ПОРТФЕЛЬ-2",T21="ПОРТФЕЛЬ"),IF(H21&lt;&gt;0,N21/H21,0),IF(T21="НКД",AE21,""))</f>
        <v>1014.6</v>
      </c>
      <c r="N21" s="112">
        <f>IF(AK21="",IF(G21="Опцион",AB21*H21,I21),AC21)</f>
        <v>507300</v>
      </c>
      <c r="O21" s="95">
        <f>IF(IsPercent=1,"",IF(N$40=0,0,N21/N$40))</f>
        <v>0.03427778329220124</v>
      </c>
      <c r="P21" s="98">
        <v>41950</v>
      </c>
      <c r="Q21" s="112">
        <f>N21-I21</f>
        <v>2350</v>
      </c>
      <c r="R21" s="100">
        <v>58</v>
      </c>
      <c r="S21" s="101">
        <v>2</v>
      </c>
      <c r="T21" s="101" t="s">
        <v>190</v>
      </c>
      <c r="U21" s="102">
        <v>40998</v>
      </c>
      <c r="V21" s="103">
        <v>500</v>
      </c>
      <c r="W21" s="101" t="s">
        <v>197</v>
      </c>
      <c r="X21" s="101" t="s">
        <v>100</v>
      </c>
      <c r="Y21" s="101" t="s">
        <v>196</v>
      </c>
      <c r="Z21" s="104" t="s">
        <v>198</v>
      </c>
      <c r="AA21" s="102" t="s">
        <v>195</v>
      </c>
      <c r="AB21" s="105">
        <v>1000</v>
      </c>
      <c r="AC21" s="97">
        <v>507300</v>
      </c>
      <c r="AD21" s="106">
        <v>0</v>
      </c>
      <c r="AE21" s="107">
        <v>42.49</v>
      </c>
      <c r="AF21" s="107">
        <v>2.063</v>
      </c>
      <c r="AG21" s="107">
        <v>0</v>
      </c>
      <c r="AH21" s="101">
        <v>0</v>
      </c>
      <c r="AI21" s="101" t="e">
        <f>IF(#REF!="","",AC21+AE21*V21)</f>
        <v>#REF!</v>
      </c>
      <c r="AJ21" s="105" t="e">
        <f>IF(#REF!="","",#REF!*(AC21+AE21*V21))</f>
        <v>#REF!</v>
      </c>
      <c r="AK21" s="108">
        <f>IF(T21="Р/С-С",9,IF(T21="РЕПО-282",11,IF(X21="Акция",1,IF(X21="Облигация",IF(AH21=1,6,IF(AG21=1,2,IF(AG21=2,3,IF(AG21=3,4,5)))),IF(X21="Вексель",7,IF(X21="Пай",8,IF(OR(T21="ДЕПОЗИТЫ",X21="Банковский сертификат"),10,100)))))))</f>
        <v>5</v>
      </c>
    </row>
    <row r="22" spans="2:37" s="109" customFormat="1" ht="12.75">
      <c r="B22" s="89" t="s">
        <v>235</v>
      </c>
      <c r="C22" s="90"/>
      <c r="D22" s="90"/>
      <c r="E22" s="91" t="s">
        <v>196</v>
      </c>
      <c r="F22" s="91" t="s">
        <v>196</v>
      </c>
      <c r="G22" s="92" t="s">
        <v>234</v>
      </c>
      <c r="H22" s="93">
        <v>0</v>
      </c>
      <c r="I22" s="111">
        <v>21245</v>
      </c>
      <c r="J22" s="94">
        <v>21245</v>
      </c>
      <c r="K22" s="95">
        <f>IF(IsPercent=1,"",IF(I$40=0,0,I22/I$40))</f>
        <v>0.0014353801271551805</v>
      </c>
      <c r="L22" s="96" t="str">
        <f>IF(AND(AC22&lt;&gt;0,U22&lt;&gt;0),TEXT(U22,"ДД.ММ.ГГГГ"),"")</f>
        <v>31.03.2012</v>
      </c>
      <c r="M22" s="113">
        <f>IF(OR(T22="ПОРТФЕЛЬ-2",T22="ПОРТФЕЛЬ"),IF(H22&lt;&gt;0,N22/H22,0),IF(T22="НКД",AE22,""))</f>
        <v>42.49</v>
      </c>
      <c r="N22" s="112">
        <f>IF(AK22="",IF(G22="Опцион",AB22*H22,I22),AC22)</f>
        <v>21245</v>
      </c>
      <c r="O22" s="95">
        <f>IF(IsPercent=1,"",IF(N$40=0,0,N22/N$40))</f>
        <v>0.0014355046442791552</v>
      </c>
      <c r="P22" s="98">
        <v>41040</v>
      </c>
      <c r="Q22" s="112">
        <f>N22-I22</f>
        <v>0</v>
      </c>
      <c r="R22" s="100">
        <v>58</v>
      </c>
      <c r="S22" s="101">
        <v>5</v>
      </c>
      <c r="T22" s="101" t="s">
        <v>53</v>
      </c>
      <c r="U22" s="102">
        <v>40999</v>
      </c>
      <c r="V22" s="103">
        <v>0</v>
      </c>
      <c r="W22" s="101" t="s">
        <v>197</v>
      </c>
      <c r="X22" s="101" t="s">
        <v>100</v>
      </c>
      <c r="Y22" s="101" t="s">
        <v>196</v>
      </c>
      <c r="Z22" s="104" t="s">
        <v>198</v>
      </c>
      <c r="AA22" s="102" t="s">
        <v>212</v>
      </c>
      <c r="AB22" s="105">
        <v>1000</v>
      </c>
      <c r="AC22" s="97">
        <v>21245</v>
      </c>
      <c r="AD22" s="106">
        <v>0</v>
      </c>
      <c r="AE22" s="107">
        <v>42.49</v>
      </c>
      <c r="AF22" s="107" t="s">
        <v>151</v>
      </c>
      <c r="AG22" s="107">
        <v>0</v>
      </c>
      <c r="AH22" s="101">
        <v>0</v>
      </c>
      <c r="AI22" s="101" t="e">
        <f>IF(#REF!="","",AC22+AE22*V22)</f>
        <v>#REF!</v>
      </c>
      <c r="AJ22" s="105" t="e">
        <f>IF(#REF!="","",#REF!*(AC22+AE22*V22))</f>
        <v>#REF!</v>
      </c>
      <c r="AK22" s="108">
        <f>IF(T22="Р/С-С",9,IF(T22="РЕПО-282",11,IF(X22="Акция",1,IF(X22="Облигация",IF(AH22=1,6,IF(AG22=1,2,IF(AG22=2,3,IF(AG22=3,4,5)))),IF(X22="Вексель",7,IF(X22="Пай",8,IF(OR(T22="ДЕПОЗИТЫ",X22="Банковский сертификат"),10,100)))))))</f>
        <v>5</v>
      </c>
    </row>
    <row r="23" spans="2:37" s="109" customFormat="1" ht="12.75">
      <c r="B23" s="89" t="s">
        <v>228</v>
      </c>
      <c r="C23" s="90"/>
      <c r="D23" s="90"/>
      <c r="E23" s="91" t="s">
        <v>192</v>
      </c>
      <c r="F23" s="91" t="s">
        <v>192</v>
      </c>
      <c r="G23" s="92" t="s">
        <v>100</v>
      </c>
      <c r="H23" s="93">
        <v>686</v>
      </c>
      <c r="I23" s="111">
        <v>685108.2</v>
      </c>
      <c r="J23" s="94">
        <v>-1098.01</v>
      </c>
      <c r="K23" s="95">
        <f>IF(IsPercent=1,"",IF(I$40=0,0,I23/I$40))</f>
        <v>0.04628810050510976</v>
      </c>
      <c r="L23" s="96" t="str">
        <f>IF(AND(AC23&lt;&gt;0,U23&lt;&gt;0),TEXT(U23,"ДД.ММ.ГГГГ"),"")</f>
        <v>30.03.2012</v>
      </c>
      <c r="M23" s="113">
        <f>IF(OR(T23="ПОРТФЕЛЬ-2",T23="ПОРТФЕЛЬ"),IF(H23&lt;&gt;0,N23/H23,0),IF(T23="НКД",AE23,""))</f>
        <v>1003.1</v>
      </c>
      <c r="N23" s="112">
        <f>IF(AK23="",IF(G23="Опцион",AB23*H23,I23),AC23)</f>
        <v>688126.6</v>
      </c>
      <c r="O23" s="95">
        <f>IF(IsPercent=1,"",IF(N$40=0,0,N23/N$40))</f>
        <v>0.04649606637571308</v>
      </c>
      <c r="P23" s="98">
        <v>42103</v>
      </c>
      <c r="Q23" s="112">
        <f>N23-I23</f>
        <v>3018.4000000000233</v>
      </c>
      <c r="R23" s="100">
        <v>58</v>
      </c>
      <c r="S23" s="101">
        <v>2</v>
      </c>
      <c r="T23" s="101" t="s">
        <v>190</v>
      </c>
      <c r="U23" s="102">
        <v>40998</v>
      </c>
      <c r="V23" s="103">
        <v>686</v>
      </c>
      <c r="W23" s="101" t="s">
        <v>193</v>
      </c>
      <c r="X23" s="101" t="s">
        <v>100</v>
      </c>
      <c r="Y23" s="101" t="s">
        <v>192</v>
      </c>
      <c r="Z23" s="104" t="s">
        <v>194</v>
      </c>
      <c r="AA23" s="102" t="s">
        <v>191</v>
      </c>
      <c r="AB23" s="105">
        <v>1000</v>
      </c>
      <c r="AC23" s="97">
        <v>688126.6</v>
      </c>
      <c r="AD23" s="106">
        <v>0</v>
      </c>
      <c r="AE23" s="107">
        <v>41.92</v>
      </c>
      <c r="AF23" s="107">
        <v>9.077</v>
      </c>
      <c r="AG23" s="107">
        <v>0</v>
      </c>
      <c r="AH23" s="101">
        <v>0</v>
      </c>
      <c r="AI23" s="101" t="e">
        <f>IF(#REF!="","",AC23+AE23*V23)</f>
        <v>#REF!</v>
      </c>
      <c r="AJ23" s="105" t="e">
        <f>IF(#REF!="","",#REF!*(AC23+AE23*V23))</f>
        <v>#REF!</v>
      </c>
      <c r="AK23" s="108">
        <f>IF(T23="Р/С-С",9,IF(T23="РЕПО-282",11,IF(X23="Акция",1,IF(X23="Облигация",IF(AH23=1,6,IF(AG23=1,2,IF(AG23=2,3,IF(AG23=3,4,5)))),IF(X23="Вексель",7,IF(X23="Пай",8,IF(OR(T23="ДЕПОЗИТЫ",X23="Банковский сертификат"),10,100)))))))</f>
        <v>5</v>
      </c>
    </row>
    <row r="24" spans="2:37" s="109" customFormat="1" ht="12.75">
      <c r="B24" s="89" t="s">
        <v>233</v>
      </c>
      <c r="C24" s="90"/>
      <c r="D24" s="90"/>
      <c r="E24" s="91" t="s">
        <v>192</v>
      </c>
      <c r="F24" s="91" t="s">
        <v>192</v>
      </c>
      <c r="G24" s="92" t="s">
        <v>234</v>
      </c>
      <c r="H24" s="93">
        <v>0</v>
      </c>
      <c r="I24" s="111">
        <v>28757.12</v>
      </c>
      <c r="J24" s="94">
        <v>27741.84</v>
      </c>
      <c r="K24" s="95">
        <f>IF(IsPercent=1,"",IF(I$40=0,0,I24/I$40))</f>
        <v>0.001942922973039152</v>
      </c>
      <c r="L24" s="96" t="str">
        <f>IF(AND(AC24&lt;&gt;0,U24&lt;&gt;0),TEXT(U24,"ДД.ММ.ГГГГ"),"")</f>
        <v>31.03.2012</v>
      </c>
      <c r="M24" s="113">
        <f>IF(OR(T24="ПОРТФЕЛЬ-2",T24="ПОРТФЕЛЬ"),IF(H24&lt;&gt;0,N24/H24,0),IF(T24="НКД",AE24,""))</f>
        <v>41.92</v>
      </c>
      <c r="N24" s="112">
        <f>IF(AK24="",IF(G24="Опцион",AB24*H24,I24),AC24)</f>
        <v>28757.12</v>
      </c>
      <c r="O24" s="95">
        <f>IF(IsPercent=1,"",IF(N$40=0,0,N24/N$40))</f>
        <v>0.001943091518761731</v>
      </c>
      <c r="P24" s="98">
        <v>41011</v>
      </c>
      <c r="Q24" s="112">
        <f>N24-I24</f>
        <v>0</v>
      </c>
      <c r="R24" s="100">
        <v>58</v>
      </c>
      <c r="S24" s="101">
        <v>5</v>
      </c>
      <c r="T24" s="101" t="s">
        <v>53</v>
      </c>
      <c r="U24" s="102">
        <v>40999</v>
      </c>
      <c r="V24" s="103">
        <v>0</v>
      </c>
      <c r="W24" s="101" t="s">
        <v>193</v>
      </c>
      <c r="X24" s="101" t="s">
        <v>100</v>
      </c>
      <c r="Y24" s="101" t="s">
        <v>192</v>
      </c>
      <c r="Z24" s="104" t="s">
        <v>194</v>
      </c>
      <c r="AA24" s="102" t="s">
        <v>211</v>
      </c>
      <c r="AB24" s="105">
        <v>1000</v>
      </c>
      <c r="AC24" s="97">
        <v>28757.12</v>
      </c>
      <c r="AD24" s="106">
        <v>0</v>
      </c>
      <c r="AE24" s="107">
        <v>41.92</v>
      </c>
      <c r="AF24" s="107" t="s">
        <v>151</v>
      </c>
      <c r="AG24" s="107">
        <v>0</v>
      </c>
      <c r="AH24" s="101">
        <v>0</v>
      </c>
      <c r="AI24" s="101" t="e">
        <f>IF(#REF!="","",AC24+AE24*V24)</f>
        <v>#REF!</v>
      </c>
      <c r="AJ24" s="105" t="e">
        <f>IF(#REF!="","",#REF!*(AC24+AE24*V24))</f>
        <v>#REF!</v>
      </c>
      <c r="AK24" s="108">
        <f>IF(T24="Р/С-С",9,IF(T24="РЕПО-282",11,IF(X24="Акция",1,IF(X24="Облигация",IF(AH24=1,6,IF(AG24=1,2,IF(AG24=2,3,IF(AG24=3,4,5)))),IF(X24="Вексель",7,IF(X24="Пай",8,IF(OR(T24="ДЕПОЗИТЫ",X24="Банковский сертификат"),10,100)))))))</f>
        <v>5</v>
      </c>
    </row>
    <row r="25" spans="2:37" s="109" customFormat="1" ht="12.75">
      <c r="B25" s="89" t="s">
        <v>230</v>
      </c>
      <c r="C25" s="90"/>
      <c r="D25" s="90"/>
      <c r="E25" s="91" t="s">
        <v>200</v>
      </c>
      <c r="F25" s="91" t="s">
        <v>200</v>
      </c>
      <c r="G25" s="92" t="s">
        <v>100</v>
      </c>
      <c r="H25" s="93">
        <v>800</v>
      </c>
      <c r="I25" s="111">
        <v>798239.88</v>
      </c>
      <c r="J25" s="94">
        <v>0</v>
      </c>
      <c r="K25" s="95">
        <f>IF(IsPercent=1,"",IF(I$40=0,0,I25/I$40))</f>
        <v>0.0539316385245816</v>
      </c>
      <c r="L25" s="96" t="str">
        <f>IF(AND(AC25&lt;&gt;0,U25&lt;&gt;0),TEXT(U25,"ДД.ММ.ГГГГ"),"")</f>
        <v>30.03.2012</v>
      </c>
      <c r="M25" s="113">
        <f>IF(OR(T25="ПОРТФЕЛЬ-2",T25="ПОРТФЕЛЬ"),IF(H25&lt;&gt;0,N25/H25,0),IF(T25="НКД",AE25,""))</f>
        <v>997.4</v>
      </c>
      <c r="N25" s="112">
        <f>IF(AK25="",IF(G25="Опцион",AB25*H25,I25),AC25)</f>
        <v>797920</v>
      </c>
      <c r="O25" s="95">
        <f>IF(IsPercent=1,"",IF(N$40=0,0,N25/N$40))</f>
        <v>0.053914703024863425</v>
      </c>
      <c r="P25" s="98">
        <v>41143</v>
      </c>
      <c r="Q25" s="112">
        <f>N25-I25</f>
        <v>-319.88000000000466</v>
      </c>
      <c r="R25" s="100">
        <v>58</v>
      </c>
      <c r="S25" s="101">
        <v>2</v>
      </c>
      <c r="T25" s="101" t="s">
        <v>190</v>
      </c>
      <c r="U25" s="102">
        <v>40998</v>
      </c>
      <c r="V25" s="103">
        <v>800</v>
      </c>
      <c r="W25" s="101" t="s">
        <v>201</v>
      </c>
      <c r="X25" s="101" t="s">
        <v>100</v>
      </c>
      <c r="Y25" s="101" t="s">
        <v>200</v>
      </c>
      <c r="Z25" s="104" t="s">
        <v>202</v>
      </c>
      <c r="AA25" s="102" t="s">
        <v>199</v>
      </c>
      <c r="AB25" s="105">
        <v>1000</v>
      </c>
      <c r="AC25" s="97">
        <v>797920</v>
      </c>
      <c r="AD25" s="106">
        <v>0</v>
      </c>
      <c r="AE25" s="107">
        <v>7.48</v>
      </c>
      <c r="AF25" s="107">
        <v>7.8</v>
      </c>
      <c r="AG25" s="107">
        <v>0</v>
      </c>
      <c r="AH25" s="101">
        <v>0</v>
      </c>
      <c r="AI25" s="101" t="e">
        <f>IF(#REF!="","",AC25+AE25*V25)</f>
        <v>#REF!</v>
      </c>
      <c r="AJ25" s="105" t="e">
        <f>IF(#REF!="","",#REF!*(AC25+AE25*V25))</f>
        <v>#REF!</v>
      </c>
      <c r="AK25" s="108">
        <f>IF(T25="Р/С-С",9,IF(T25="РЕПО-282",11,IF(X25="Акция",1,IF(X25="Облигация",IF(AH25=1,6,IF(AG25=1,2,IF(AG25=2,3,IF(AG25=3,4,5)))),IF(X25="Вексель",7,IF(X25="Пай",8,IF(OR(T25="ДЕПОЗИТЫ",X25="Банковский сертификат"),10,100)))))))</f>
        <v>5</v>
      </c>
    </row>
    <row r="26" spans="2:37" s="109" customFormat="1" ht="12.75">
      <c r="B26" s="89" t="s">
        <v>236</v>
      </c>
      <c r="C26" s="90"/>
      <c r="D26" s="90"/>
      <c r="E26" s="91" t="s">
        <v>200</v>
      </c>
      <c r="F26" s="91" t="s">
        <v>200</v>
      </c>
      <c r="G26" s="92" t="s">
        <v>234</v>
      </c>
      <c r="H26" s="93">
        <v>0</v>
      </c>
      <c r="I26" s="111">
        <v>5984</v>
      </c>
      <c r="J26" s="94">
        <v>152</v>
      </c>
      <c r="K26" s="95">
        <f>IF(IsPercent=1,"",IF(I$40=0,0,I26/I$40))</f>
        <v>0.0004042981727887315</v>
      </c>
      <c r="L26" s="96" t="str">
        <f>IF(AND(AC26&lt;&gt;0,U26&lt;&gt;0),TEXT(U26,"ДД.ММ.ГГГГ"),"")</f>
        <v>31.03.2012</v>
      </c>
      <c r="M26" s="113">
        <f>IF(OR(T26="ПОРТФЕЛЬ-2",T26="ПОРТФЕЛЬ"),IF(H26&lt;&gt;0,N26/H26,0),IF(T26="НКД",AE26,""))</f>
        <v>7.48</v>
      </c>
      <c r="N26" s="112">
        <f>IF(AK26="",IF(G26="Опцион",AB26*H26,I26),AC26)</f>
        <v>5984</v>
      </c>
      <c r="O26" s="95">
        <f>IF(IsPercent=1,"",IF(N$40=0,0,N26/N$40))</f>
        <v>0.00040433324506314257</v>
      </c>
      <c r="P26" s="98">
        <v>41143</v>
      </c>
      <c r="Q26" s="112">
        <f>N26-I26</f>
        <v>0</v>
      </c>
      <c r="R26" s="100">
        <v>58</v>
      </c>
      <c r="S26" s="101">
        <v>5</v>
      </c>
      <c r="T26" s="101" t="s">
        <v>53</v>
      </c>
      <c r="U26" s="102">
        <v>40999</v>
      </c>
      <c r="V26" s="103">
        <v>0</v>
      </c>
      <c r="W26" s="101" t="s">
        <v>201</v>
      </c>
      <c r="X26" s="101" t="s">
        <v>100</v>
      </c>
      <c r="Y26" s="101" t="s">
        <v>200</v>
      </c>
      <c r="Z26" s="104" t="s">
        <v>202</v>
      </c>
      <c r="AA26" s="102" t="s">
        <v>213</v>
      </c>
      <c r="AB26" s="105">
        <v>1000</v>
      </c>
      <c r="AC26" s="97">
        <v>5984</v>
      </c>
      <c r="AD26" s="106">
        <v>0</v>
      </c>
      <c r="AE26" s="107">
        <v>7.48</v>
      </c>
      <c r="AF26" s="107" t="s">
        <v>151</v>
      </c>
      <c r="AG26" s="107">
        <v>0</v>
      </c>
      <c r="AH26" s="101">
        <v>0</v>
      </c>
      <c r="AI26" s="101" t="e">
        <f>IF(#REF!="","",AC26+AE26*V26)</f>
        <v>#REF!</v>
      </c>
      <c r="AJ26" s="105" t="e">
        <f>IF(#REF!="","",#REF!*(AC26+AE26*V26))</f>
        <v>#REF!</v>
      </c>
      <c r="AK26" s="108">
        <f>IF(T26="Р/С-С",9,IF(T26="РЕПО-282",11,IF(X26="Акция",1,IF(X26="Облигация",IF(AH26=1,6,IF(AG26=1,2,IF(AG26=2,3,IF(AG26=3,4,5)))),IF(X26="Вексель",7,IF(X26="Пай",8,IF(OR(T26="ДЕПОЗИТЫ",X26="Банковский сертификат"),10,100)))))))</f>
        <v>5</v>
      </c>
    </row>
    <row r="27" spans="2:37" s="109" customFormat="1" ht="12.75">
      <c r="B27" s="89" t="s">
        <v>231</v>
      </c>
      <c r="C27" s="90"/>
      <c r="D27" s="90"/>
      <c r="E27" s="91" t="s">
        <v>204</v>
      </c>
      <c r="F27" s="91" t="s">
        <v>204</v>
      </c>
      <c r="G27" s="92" t="s">
        <v>100</v>
      </c>
      <c r="H27" s="93">
        <v>585</v>
      </c>
      <c r="I27" s="111">
        <v>578506.5</v>
      </c>
      <c r="J27" s="94">
        <v>8018.56</v>
      </c>
      <c r="K27" s="95">
        <f>IF(IsPercent=1,"",IF(I$40=0,0,I27/I$40))</f>
        <v>0.039085748812901784</v>
      </c>
      <c r="L27" s="96" t="str">
        <f>IF(AND(AC27&lt;&gt;0,U27&lt;&gt;0),TEXT(U27,"ДД.ММ.ГГГГ"),"")</f>
        <v>30.03.2012</v>
      </c>
      <c r="M27" s="113">
        <f>IF(OR(T27="ПОРТФЕЛЬ-2",T27="ПОРТФЕЛЬ"),IF(H27&lt;&gt;0,N27/H27,0),IF(T27="НКД",AE27,""))</f>
        <v>991</v>
      </c>
      <c r="N27" s="112">
        <f>IF(AK27="",IF(G27="Опцион",AB27*H27,I27),AC27)</f>
        <v>579735</v>
      </c>
      <c r="O27" s="95">
        <f>IF(IsPercent=1,"",IF(N$40=0,0,N27/N$40))</f>
        <v>0.039172148032533584</v>
      </c>
      <c r="P27" s="98">
        <v>41674</v>
      </c>
      <c r="Q27" s="112">
        <f>N27-I27</f>
        <v>1228.5</v>
      </c>
      <c r="R27" s="100">
        <v>58</v>
      </c>
      <c r="S27" s="101">
        <v>2</v>
      </c>
      <c r="T27" s="101" t="s">
        <v>190</v>
      </c>
      <c r="U27" s="102">
        <v>40998</v>
      </c>
      <c r="V27" s="103">
        <v>585</v>
      </c>
      <c r="W27" s="101" t="s">
        <v>205</v>
      </c>
      <c r="X27" s="101" t="s">
        <v>100</v>
      </c>
      <c r="Y27" s="101" t="s">
        <v>204</v>
      </c>
      <c r="Z27" s="104" t="s">
        <v>206</v>
      </c>
      <c r="AA27" s="102" t="s">
        <v>203</v>
      </c>
      <c r="AB27" s="105">
        <v>1000</v>
      </c>
      <c r="AC27" s="97">
        <v>579735</v>
      </c>
      <c r="AD27" s="106">
        <v>0</v>
      </c>
      <c r="AE27" s="107">
        <v>12.49</v>
      </c>
      <c r="AF27" s="107">
        <v>9.336</v>
      </c>
      <c r="AG27" s="107">
        <v>0</v>
      </c>
      <c r="AH27" s="101">
        <v>0</v>
      </c>
      <c r="AI27" s="101" t="e">
        <f>IF(#REF!="","",AC27+AE27*V27)</f>
        <v>#REF!</v>
      </c>
      <c r="AJ27" s="105" t="e">
        <f>IF(#REF!="","",#REF!*(AC27+AE27*V27))</f>
        <v>#REF!</v>
      </c>
      <c r="AK27" s="108">
        <f>IF(T27="Р/С-С",9,IF(T27="РЕПО-282",11,IF(X27="Акция",1,IF(X27="Облигация",IF(AH27=1,6,IF(AG27=1,2,IF(AG27=2,3,IF(AG27=3,4,5)))),IF(X27="Вексель",7,IF(X27="Пай",8,IF(OR(T27="ДЕПОЗИТЫ",X27="Банковский сертификат"),10,100)))))))</f>
        <v>5</v>
      </c>
    </row>
    <row r="28" spans="2:37" s="109" customFormat="1" ht="12.75">
      <c r="B28" s="89" t="s">
        <v>237</v>
      </c>
      <c r="C28" s="90"/>
      <c r="D28" s="90"/>
      <c r="E28" s="91" t="s">
        <v>204</v>
      </c>
      <c r="F28" s="91" t="s">
        <v>204</v>
      </c>
      <c r="G28" s="92" t="s">
        <v>234</v>
      </c>
      <c r="H28" s="93">
        <v>0</v>
      </c>
      <c r="I28" s="111">
        <v>7306.65</v>
      </c>
      <c r="J28" s="94">
        <v>7306.65</v>
      </c>
      <c r="K28" s="95">
        <f>IF(IsPercent=1,"",IF(I$40=0,0,I28/I$40))</f>
        <v>0.0004936606357297434</v>
      </c>
      <c r="L28" s="96" t="str">
        <f>IF(AND(AC28&lt;&gt;0,U28&lt;&gt;0),TEXT(U28,"ДД.ММ.ГГГГ"),"")</f>
        <v>31.03.2012</v>
      </c>
      <c r="M28" s="113">
        <f>IF(OR(T28="ПОРТФЕЛЬ-2",T28="ПОРТФЕЛЬ"),IF(H28&lt;&gt;0,N28/H28,0),IF(T28="НКД",AE28,""))</f>
        <v>12.49</v>
      </c>
      <c r="N28" s="112">
        <f>IF(AK28="",IF(G28="Опцион",AB28*H28,I28),AC28)</f>
        <v>7306.65</v>
      </c>
      <c r="O28" s="95">
        <f>IF(IsPercent=1,"",IF(N$40=0,0,N28/N$40))</f>
        <v>0.000493703460066947</v>
      </c>
      <c r="P28" s="98">
        <v>41128</v>
      </c>
      <c r="Q28" s="112">
        <f>N28-I28</f>
        <v>0</v>
      </c>
      <c r="R28" s="100">
        <v>58</v>
      </c>
      <c r="S28" s="101">
        <v>5</v>
      </c>
      <c r="T28" s="101" t="s">
        <v>53</v>
      </c>
      <c r="U28" s="102">
        <v>40999</v>
      </c>
      <c r="V28" s="103">
        <v>0</v>
      </c>
      <c r="W28" s="101" t="s">
        <v>205</v>
      </c>
      <c r="X28" s="101" t="s">
        <v>100</v>
      </c>
      <c r="Y28" s="101" t="s">
        <v>204</v>
      </c>
      <c r="Z28" s="104" t="s">
        <v>206</v>
      </c>
      <c r="AA28" s="102" t="s">
        <v>214</v>
      </c>
      <c r="AB28" s="105">
        <v>1000</v>
      </c>
      <c r="AC28" s="97">
        <v>7306.65</v>
      </c>
      <c r="AD28" s="106">
        <v>0</v>
      </c>
      <c r="AE28" s="107">
        <v>12.49</v>
      </c>
      <c r="AF28" s="107" t="s">
        <v>151</v>
      </c>
      <c r="AG28" s="107">
        <v>0</v>
      </c>
      <c r="AH28" s="101">
        <v>0</v>
      </c>
      <c r="AI28" s="101" t="e">
        <f>IF(#REF!="","",AC28+AE28*V28)</f>
        <v>#REF!</v>
      </c>
      <c r="AJ28" s="105" t="e">
        <f>IF(#REF!="","",#REF!*(AC28+AE28*V28))</f>
        <v>#REF!</v>
      </c>
      <c r="AK28" s="108">
        <f>IF(T28="Р/С-С",9,IF(T28="РЕПО-282",11,IF(X28="Акция",1,IF(X28="Облигация",IF(AH28=1,6,IF(AG28=1,2,IF(AG28=2,3,IF(AG28=3,4,5)))),IF(X28="Вексель",7,IF(X28="Пай",8,IF(OR(T28="ДЕПОЗИТЫ",X28="Банковский сертификат"),10,100)))))))</f>
        <v>5</v>
      </c>
    </row>
    <row r="29" spans="2:37" s="109" customFormat="1" ht="12.75">
      <c r="B29" s="89" t="s">
        <v>232</v>
      </c>
      <c r="C29" s="90"/>
      <c r="D29" s="90"/>
      <c r="E29" s="91" t="s">
        <v>208</v>
      </c>
      <c r="F29" s="91" t="s">
        <v>208</v>
      </c>
      <c r="G29" s="92" t="s">
        <v>100</v>
      </c>
      <c r="H29" s="93">
        <v>9</v>
      </c>
      <c r="I29" s="111">
        <v>9090</v>
      </c>
      <c r="J29" s="94">
        <v>-2.73</v>
      </c>
      <c r="K29" s="95">
        <f>IF(IsPercent=1,"",IF(I$40=0,0,I29/I$40))</f>
        <v>0.0006141494636780697</v>
      </c>
      <c r="L29" s="96" t="str">
        <f>IF(AND(AC29&lt;&gt;0,U29&lt;&gt;0),TEXT(U29,"ДД.ММ.ГГГГ"),"")</f>
        <v>30.03.2012</v>
      </c>
      <c r="M29" s="113">
        <f>IF(OR(T29="ПОРТФЕЛЬ-2",T29="ПОРТФЕЛЬ"),IF(H29&lt;&gt;0,N29/H29,0),IF(T29="НКД",AE29,""))</f>
        <v>1012.5</v>
      </c>
      <c r="N29" s="112">
        <f>IF(AK29="",IF(G29="Опцион",AB29*H29,I29),AC29)</f>
        <v>9112.5</v>
      </c>
      <c r="O29" s="95">
        <f>IF(IsPercent=1,"",IF(N$40=0,0,N29/N$40))</f>
        <v>0.0006157230440571335</v>
      </c>
      <c r="P29" s="98">
        <v>44008</v>
      </c>
      <c r="Q29" s="112">
        <f>N29-I29</f>
        <v>22.5</v>
      </c>
      <c r="R29" s="100">
        <v>58</v>
      </c>
      <c r="S29" s="101">
        <v>2</v>
      </c>
      <c r="T29" s="101" t="s">
        <v>190</v>
      </c>
      <c r="U29" s="102">
        <v>40998</v>
      </c>
      <c r="V29" s="103">
        <v>9</v>
      </c>
      <c r="W29" s="101" t="s">
        <v>209</v>
      </c>
      <c r="X29" s="101" t="s">
        <v>100</v>
      </c>
      <c r="Y29" s="101" t="s">
        <v>208</v>
      </c>
      <c r="Z29" s="104" t="s">
        <v>210</v>
      </c>
      <c r="AA29" s="102" t="s">
        <v>207</v>
      </c>
      <c r="AB29" s="105">
        <v>1000</v>
      </c>
      <c r="AC29" s="97">
        <v>9112.5</v>
      </c>
      <c r="AD29" s="106">
        <v>0</v>
      </c>
      <c r="AE29" s="107">
        <v>21.77</v>
      </c>
      <c r="AF29" s="107">
        <v>1.343</v>
      </c>
      <c r="AG29" s="107">
        <v>0</v>
      </c>
      <c r="AH29" s="101">
        <v>0</v>
      </c>
      <c r="AI29" s="101" t="e">
        <f>IF(#REF!="","",AC29+AE29*V29)</f>
        <v>#REF!</v>
      </c>
      <c r="AJ29" s="105" t="e">
        <f>IF(#REF!="","",#REF!*(AC29+AE29*V29))</f>
        <v>#REF!</v>
      </c>
      <c r="AK29" s="108">
        <f>IF(T29="Р/С-С",9,IF(T29="РЕПО-282",11,IF(X29="Акция",1,IF(X29="Облигация",IF(AH29=1,6,IF(AG29=1,2,IF(AG29=2,3,IF(AG29=3,4,5)))),IF(X29="Вексель",7,IF(X29="Пай",8,IF(OR(T29="ДЕПОЗИТЫ",X29="Банковский сертификат"),10,100)))))))</f>
        <v>5</v>
      </c>
    </row>
    <row r="30" spans="2:37" s="109" customFormat="1" ht="12.75">
      <c r="B30" s="89" t="s">
        <v>238</v>
      </c>
      <c r="C30" s="90"/>
      <c r="D30" s="90"/>
      <c r="E30" s="91" t="s">
        <v>208</v>
      </c>
      <c r="F30" s="91" t="s">
        <v>208</v>
      </c>
      <c r="G30" s="92" t="s">
        <v>234</v>
      </c>
      <c r="H30" s="93">
        <v>0</v>
      </c>
      <c r="I30" s="111">
        <v>195.93</v>
      </c>
      <c r="J30" s="94">
        <v>195.93</v>
      </c>
      <c r="K30" s="95">
        <f>IF(IsPercent=1,"",IF(I$40=0,0,I30/I$40))</f>
        <v>1.3237657251754038E-05</v>
      </c>
      <c r="L30" s="96" t="str">
        <f>IF(AND(AC30&lt;&gt;0,U30&lt;&gt;0),TEXT(U30,"ДД.ММ.ГГГГ"),"")</f>
        <v>31.03.2012</v>
      </c>
      <c r="M30" s="113">
        <f>IF(OR(T30="ПОРТФЕЛЬ-2",T30="ПОРТФЕЛЬ"),IF(H30&lt;&gt;0,N30/H30,0),IF(T30="НКД",AE30,""))</f>
        <v>21.77</v>
      </c>
      <c r="N30" s="112">
        <f>IF(AK30="",IF(G30="Опцион",AB30*H30,I30),AC30)</f>
        <v>195.93</v>
      </c>
      <c r="O30" s="95">
        <f>IF(IsPercent=1,"",IF(N$40=0,0,N30/N$40))</f>
        <v>1.3238805599134615E-05</v>
      </c>
      <c r="P30" s="98">
        <v>41096</v>
      </c>
      <c r="Q30" s="112">
        <f>N30-I30</f>
        <v>0</v>
      </c>
      <c r="R30" s="100">
        <v>58</v>
      </c>
      <c r="S30" s="101">
        <v>5</v>
      </c>
      <c r="T30" s="101" t="s">
        <v>53</v>
      </c>
      <c r="U30" s="102">
        <v>40999</v>
      </c>
      <c r="V30" s="103">
        <v>0</v>
      </c>
      <c r="W30" s="101" t="s">
        <v>209</v>
      </c>
      <c r="X30" s="101" t="s">
        <v>100</v>
      </c>
      <c r="Y30" s="101" t="s">
        <v>208</v>
      </c>
      <c r="Z30" s="104" t="s">
        <v>210</v>
      </c>
      <c r="AA30" s="102" t="s">
        <v>215</v>
      </c>
      <c r="AB30" s="105">
        <v>1000</v>
      </c>
      <c r="AC30" s="97">
        <v>195.93</v>
      </c>
      <c r="AD30" s="106">
        <v>0</v>
      </c>
      <c r="AE30" s="107">
        <v>21.77</v>
      </c>
      <c r="AF30" s="107" t="s">
        <v>151</v>
      </c>
      <c r="AG30" s="107">
        <v>0</v>
      </c>
      <c r="AH30" s="101">
        <v>0</v>
      </c>
      <c r="AI30" s="101" t="e">
        <f>IF(#REF!="","",AC30+AE30*V30)</f>
        <v>#REF!</v>
      </c>
      <c r="AJ30" s="105" t="e">
        <f>IF(#REF!="","",#REF!*(AC30+AE30*V30))</f>
        <v>#REF!</v>
      </c>
      <c r="AK30" s="108">
        <f>IF(T30="Р/С-С",9,IF(T30="РЕПО-282",11,IF(X30="Акция",1,IF(X30="Облигация",IF(AH30=1,6,IF(AG30=1,2,IF(AG30=2,3,IF(AG30=3,4,5)))),IF(X30="Вексель",7,IF(X30="Пай",8,IF(OR(T30="ДЕПОЗИТЫ",X30="Банковский сертификат"),10,100)))))))</f>
        <v>5</v>
      </c>
    </row>
    <row r="31" spans="2:37" ht="12.75">
      <c r="B31" s="11" t="str">
        <f>data!B$41&amp;" "&amp;VLOOKUP(AK31,GroupList,2,FALSE)</f>
        <v>по всем облигациям предприятий и организаций (кроме ипотечных)</v>
      </c>
      <c r="C31" s="12"/>
      <c r="D31" s="12"/>
      <c r="E31" s="12"/>
      <c r="F31" s="12"/>
      <c r="G31" s="12"/>
      <c r="H31" s="12"/>
      <c r="I31" s="21">
        <f>SUM(I21:I30)</f>
        <v>2639383.2800000003</v>
      </c>
      <c r="J31" s="57"/>
      <c r="K31" s="34">
        <f>IF(I$40=0,0,I31/I$40)</f>
        <v>0.17832517336115122</v>
      </c>
      <c r="L31" s="12"/>
      <c r="M31" s="12"/>
      <c r="N31" s="21">
        <f>SUM(N21:N30)</f>
        <v>2645682.8000000003</v>
      </c>
      <c r="O31" s="41">
        <f>IF(N$40=0,0,N31/N$40)</f>
        <v>0.1787662954431386</v>
      </c>
      <c r="P31" s="44"/>
      <c r="Q31" s="21">
        <f>SUM(Q21:Q30)</f>
        <v>6299.520000000019</v>
      </c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39" t="e">
        <f>SUM(AJ21:AJ30)</f>
        <v>#REF!</v>
      </c>
      <c r="AK31" s="5">
        <v>5</v>
      </c>
    </row>
    <row r="32" spans="2:37" s="109" customFormat="1" ht="12.75">
      <c r="B32" s="89" t="s">
        <v>219</v>
      </c>
      <c r="C32" s="90"/>
      <c r="D32" s="90"/>
      <c r="E32" s="91" t="s">
        <v>217</v>
      </c>
      <c r="F32" s="91" t="s">
        <v>151</v>
      </c>
      <c r="G32" s="92" t="s">
        <v>218</v>
      </c>
      <c r="H32" s="93">
        <v>33531.93</v>
      </c>
      <c r="I32" s="111">
        <v>33531.93</v>
      </c>
      <c r="J32" s="94"/>
      <c r="K32" s="95">
        <f>IF(IsPercent=1,"",IF(I$40=0,0,I32/I$40))</f>
        <v>0.002265524403255289</v>
      </c>
      <c r="L32" s="96">
        <f>IF(AND(AC32&lt;&gt;0,U32&lt;&gt;0),TEXT(U32,"ДД.ММ.ГГГГ"),"")</f>
      </c>
      <c r="M32" s="113">
        <f>IF(OR(T32="ПОРТФЕЛЬ-2",T32="ПОРТФЕЛЬ"),IF(H32&lt;&gt;0,N32/H32,0),IF(T32="НКД",AE32,""))</f>
      </c>
      <c r="N32" s="112">
        <f>IF(AK32="",IF(G32="Опцион",AB32*H32,I32),AC32)</f>
        <v>33531.93</v>
      </c>
      <c r="O32" s="95">
        <f>IF(IsPercent=1,"",IF(N$40=0,0,N32/N$40))</f>
        <v>0.0022657209341795026</v>
      </c>
      <c r="P32" s="98"/>
      <c r="Q32" s="112">
        <f>N32-I32</f>
        <v>0</v>
      </c>
      <c r="R32" s="100">
        <v>55</v>
      </c>
      <c r="S32" s="101">
        <v>1</v>
      </c>
      <c r="T32" s="101" t="s">
        <v>158</v>
      </c>
      <c r="U32" s="102"/>
      <c r="V32" s="103">
        <v>33531.93</v>
      </c>
      <c r="W32" s="101" t="s">
        <v>160</v>
      </c>
      <c r="X32" s="101" t="s">
        <v>151</v>
      </c>
      <c r="Y32" s="101" t="s">
        <v>156</v>
      </c>
      <c r="Z32" s="104" t="s">
        <v>151</v>
      </c>
      <c r="AA32" s="102" t="s">
        <v>159</v>
      </c>
      <c r="AB32" s="105"/>
      <c r="AC32" s="97">
        <v>33531.93</v>
      </c>
      <c r="AD32" s="106">
        <v>0</v>
      </c>
      <c r="AE32" s="107">
        <v>0</v>
      </c>
      <c r="AF32" s="107" t="s">
        <v>151</v>
      </c>
      <c r="AG32" s="107" t="s">
        <v>151</v>
      </c>
      <c r="AH32" s="101"/>
      <c r="AI32" s="101" t="e">
        <f>IF(#REF!="","",AC32+AE32*V32)</f>
        <v>#REF!</v>
      </c>
      <c r="AJ32" s="105" t="e">
        <f>IF(#REF!="","",#REF!*(AC32+AE32*V32))</f>
        <v>#REF!</v>
      </c>
      <c r="AK32" s="108">
        <f>IF(T32="Р/С-С",9,IF(T32="РЕПО-282",11,IF(X32="Акция",1,IF(X32="Облигация",IF(AH32=1,6,IF(AG32=1,2,IF(AG32=2,3,IF(AG32=3,4,5)))),IF(X32="Вексель",7,IF(X32="Пай",8,IF(OR(T32="ДЕПОЗИТЫ",X32="Банковский сертификат"),10,100)))))))</f>
        <v>9</v>
      </c>
    </row>
    <row r="33" spans="2:37" ht="12.75">
      <c r="B33" s="11" t="str">
        <f>data!B$41&amp;" "&amp;VLOOKUP(AK33,GroupList,2,FALSE)</f>
        <v>по всем денежным средствам у брокера</v>
      </c>
      <c r="C33" s="12"/>
      <c r="D33" s="12"/>
      <c r="E33" s="12"/>
      <c r="F33" s="12"/>
      <c r="G33" s="12"/>
      <c r="H33" s="12"/>
      <c r="I33" s="21">
        <f>SUM(I32:I32)</f>
        <v>33531.93</v>
      </c>
      <c r="J33" s="57"/>
      <c r="K33" s="34">
        <f>IF(I$40=0,0,I33/I$40)</f>
        <v>0.002265524403255289</v>
      </c>
      <c r="L33" s="12"/>
      <c r="M33" s="12"/>
      <c r="N33" s="21">
        <f>SUM(N32:N32)</f>
        <v>33531.93</v>
      </c>
      <c r="O33" s="41">
        <f>IF(N$40=0,0,N33/N$40)</f>
        <v>0.0022657209341795026</v>
      </c>
      <c r="P33" s="44"/>
      <c r="Q33" s="21">
        <f>SUM(Q32:Q32)</f>
        <v>0</v>
      </c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39" t="e">
        <f>SUM(AJ32:AJ32)</f>
        <v>#REF!</v>
      </c>
      <c r="AK33" s="5">
        <v>9</v>
      </c>
    </row>
    <row r="34" spans="2:37" s="109" customFormat="1" ht="12.75">
      <c r="B34" s="89" t="s">
        <v>222</v>
      </c>
      <c r="C34" s="90"/>
      <c r="D34" s="90"/>
      <c r="E34" s="91" t="s">
        <v>217</v>
      </c>
      <c r="F34" s="91" t="s">
        <v>151</v>
      </c>
      <c r="G34" s="92" t="s">
        <v>221</v>
      </c>
      <c r="H34" s="93">
        <v>7000000</v>
      </c>
      <c r="I34" s="111">
        <v>7100409.84</v>
      </c>
      <c r="J34" s="94">
        <v>100409.84</v>
      </c>
      <c r="K34" s="95">
        <f>IF(IsPercent=1,"",IF(I$40=0,0,I34/I$40))</f>
        <v>0.4797263911034641</v>
      </c>
      <c r="L34" s="96">
        <f>IF(AND(AC34&lt;&gt;0,U34&lt;&gt;0),TEXT(U34,"ДД.ММ.ГГГГ"),"")</f>
      </c>
      <c r="M34" s="113">
        <f>IF(OR(T34="ПОРТФЕЛЬ-2",T34="ПОРТФЕЛЬ"),IF(H34&lt;&gt;0,N34/H34,0),IF(T34="НКД",AE34,""))</f>
      </c>
      <c r="N34" s="112">
        <f>IF(AK34="",IF(G34="Опцион",AB34*H34,I34),AC34)</f>
        <v>7100409.84</v>
      </c>
      <c r="O34" s="95">
        <f>IF(IsPercent=1,"",IF(N$40=0,0,N34/N$40))</f>
        <v>0.4797680066653524</v>
      </c>
      <c r="P34" s="98">
        <v>41315</v>
      </c>
      <c r="Q34" s="112">
        <f>N34-I34</f>
        <v>0</v>
      </c>
      <c r="R34" s="100">
        <v>55</v>
      </c>
      <c r="S34" s="101">
        <v>2</v>
      </c>
      <c r="T34" s="101" t="s">
        <v>161</v>
      </c>
      <c r="U34" s="102"/>
      <c r="V34" s="103">
        <v>7000000</v>
      </c>
      <c r="W34" s="101" t="s">
        <v>157</v>
      </c>
      <c r="X34" s="101" t="s">
        <v>151</v>
      </c>
      <c r="Y34" s="101" t="s">
        <v>156</v>
      </c>
      <c r="Z34" s="104" t="s">
        <v>151</v>
      </c>
      <c r="AA34" s="102" t="s">
        <v>163</v>
      </c>
      <c r="AB34" s="105"/>
      <c r="AC34" s="97">
        <v>7100409.84</v>
      </c>
      <c r="AD34" s="106">
        <v>0</v>
      </c>
      <c r="AE34" s="107">
        <v>0</v>
      </c>
      <c r="AF34" s="107">
        <v>10.572</v>
      </c>
      <c r="AG34" s="107" t="s">
        <v>151</v>
      </c>
      <c r="AH34" s="101"/>
      <c r="AI34" s="101" t="e">
        <f>IF(#REF!="","",AC34+AE34*V34)</f>
        <v>#REF!</v>
      </c>
      <c r="AJ34" s="105" t="e">
        <f>IF(#REF!="","",#REF!*(AC34+AE34*V34))</f>
        <v>#REF!</v>
      </c>
      <c r="AK34" s="108">
        <f>IF(T34="Р/С-С",9,IF(T34="РЕПО-282",11,IF(X34="Акция",1,IF(X34="Облигация",IF(AH34=1,6,IF(AG34=1,2,IF(AG34=2,3,IF(AG34=3,4,5)))),IF(X34="Вексель",7,IF(X34="Пай",8,IF(OR(T34="ДЕПОЗИТЫ",X34="Банковский сертификат"),10,100)))))))</f>
        <v>10</v>
      </c>
    </row>
    <row r="35" spans="2:37" s="109" customFormat="1" ht="12.75">
      <c r="B35" s="89" t="s">
        <v>220</v>
      </c>
      <c r="C35" s="90"/>
      <c r="D35" s="90"/>
      <c r="E35" s="91" t="s">
        <v>217</v>
      </c>
      <c r="F35" s="91" t="s">
        <v>151</v>
      </c>
      <c r="G35" s="92" t="s">
        <v>221</v>
      </c>
      <c r="H35" s="93">
        <v>2000000</v>
      </c>
      <c r="I35" s="111">
        <v>2000000</v>
      </c>
      <c r="J35" s="94">
        <v>0</v>
      </c>
      <c r="K35" s="95">
        <f>IF(IsPercent=1,"",IF(I$40=0,0,I35/I$40))</f>
        <v>0.1351263946486402</v>
      </c>
      <c r="L35" s="96">
        <f>IF(AND(AC35&lt;&gt;0,U35&lt;&gt;0),TEXT(U35,"ДД.ММ.ГГГГ"),"")</f>
      </c>
      <c r="M35" s="113">
        <f>IF(OR(T35="ПОРТФЕЛЬ-2",T35="ПОРТФЕЛЬ"),IF(H35&lt;&gt;0,N35/H35,0),IF(T35="НКД",AE35,""))</f>
      </c>
      <c r="N35" s="112">
        <f>IF(AK35="",IF(G35="Опцион",AB35*H35,I35),AC35)</f>
        <v>2000000</v>
      </c>
      <c r="O35" s="95">
        <f>IF(IsPercent=1,"",IF(N$40=0,0,N35/N$40))</f>
        <v>0.13513811666548883</v>
      </c>
      <c r="P35" s="98">
        <v>41263</v>
      </c>
      <c r="Q35" s="112">
        <f>N35-I35</f>
        <v>0</v>
      </c>
      <c r="R35" s="100">
        <v>55</v>
      </c>
      <c r="S35" s="101">
        <v>2</v>
      </c>
      <c r="T35" s="101" t="s">
        <v>161</v>
      </c>
      <c r="U35" s="102"/>
      <c r="V35" s="103">
        <v>2000000</v>
      </c>
      <c r="W35" s="101" t="s">
        <v>157</v>
      </c>
      <c r="X35" s="101" t="s">
        <v>151</v>
      </c>
      <c r="Y35" s="101" t="s">
        <v>156</v>
      </c>
      <c r="Z35" s="104" t="s">
        <v>151</v>
      </c>
      <c r="AA35" s="102" t="s">
        <v>162</v>
      </c>
      <c r="AB35" s="105"/>
      <c r="AC35" s="97">
        <v>2000000</v>
      </c>
      <c r="AD35" s="106">
        <v>0</v>
      </c>
      <c r="AE35" s="107">
        <v>0</v>
      </c>
      <c r="AF35" s="107">
        <v>0</v>
      </c>
      <c r="AG35" s="107" t="s">
        <v>151</v>
      </c>
      <c r="AH35" s="101"/>
      <c r="AI35" s="101" t="e">
        <f>IF(#REF!="","",AC35+AE35*V35)</f>
        <v>#REF!</v>
      </c>
      <c r="AJ35" s="105" t="e">
        <f>IF(#REF!="","",#REF!*(AC35+AE35*V35))</f>
        <v>#REF!</v>
      </c>
      <c r="AK35" s="108">
        <f>IF(T35="Р/С-С",9,IF(T35="РЕПО-282",11,IF(X35="Акция",1,IF(X35="Облигация",IF(AH35=1,6,IF(AG35=1,2,IF(AG35=2,3,IF(AG35=3,4,5)))),IF(X35="Вексель",7,IF(X35="Пай",8,IF(OR(T35="ДЕПОЗИТЫ",X35="Банковский сертификат"),10,100)))))))</f>
        <v>10</v>
      </c>
    </row>
    <row r="36" spans="2:37" ht="12.75">
      <c r="B36" s="11" t="str">
        <f>data!B$41&amp;" "&amp;VLOOKUP(AK36,GroupList,2,FALSE)</f>
        <v>по всем депозитам</v>
      </c>
      <c r="C36" s="12"/>
      <c r="D36" s="12"/>
      <c r="E36" s="12"/>
      <c r="F36" s="12"/>
      <c r="G36" s="12"/>
      <c r="H36" s="12"/>
      <c r="I36" s="21">
        <f>SUM(I34:I35)</f>
        <v>9100409.84</v>
      </c>
      <c r="J36" s="57"/>
      <c r="K36" s="34">
        <f>IF(I$40=0,0,I36/I$40)</f>
        <v>0.6148527857521043</v>
      </c>
      <c r="L36" s="12"/>
      <c r="M36" s="12"/>
      <c r="N36" s="21">
        <f>SUM(N34:N35)</f>
        <v>9100409.84</v>
      </c>
      <c r="O36" s="41">
        <f>IF(N$40=0,0,N36/N$40)</f>
        <v>0.6149061233308413</v>
      </c>
      <c r="P36" s="44"/>
      <c r="Q36" s="21">
        <f>SUM(Q34:Q35)</f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39" t="e">
        <f>SUM(AJ34:AJ35)</f>
        <v>#REF!</v>
      </c>
      <c r="AK36" s="5">
        <v>10</v>
      </c>
    </row>
    <row r="37" spans="2:37" s="109" customFormat="1" ht="12.75">
      <c r="B37" s="89" t="s">
        <v>216</v>
      </c>
      <c r="C37" s="90"/>
      <c r="D37" s="90"/>
      <c r="E37" s="91" t="s">
        <v>217</v>
      </c>
      <c r="F37" s="91" t="s">
        <v>151</v>
      </c>
      <c r="G37" s="92" t="s">
        <v>218</v>
      </c>
      <c r="H37" s="93">
        <v>72489</v>
      </c>
      <c r="I37" s="111">
        <v>72489</v>
      </c>
      <c r="J37" s="94"/>
      <c r="K37" s="95">
        <f>IF(IsPercent=1,"",IF(I$40=0,0,I37/I$40))</f>
        <v>0.00489758861084264</v>
      </c>
      <c r="L37" s="96">
        <f>IF(AND(AC37&lt;&gt;0,U37&lt;&gt;0),TEXT(U37,"ДД.ММ.ГГГГ"),"")</f>
      </c>
      <c r="M37" s="113">
        <f>IF(OR(T37="ПОРТФЕЛЬ-2",T37="ПОРТФЕЛЬ"),IF(H37&lt;&gt;0,N37/H37,0),IF(T37="НКД",AE37,""))</f>
      </c>
      <c r="N37" s="112">
        <f>IF(AK37="",IF(G37="Опцион",AB37*H37,I37),AC37)</f>
        <v>72489</v>
      </c>
      <c r="O37" s="95">
        <f>IF(IsPercent=1,"",IF(N$40=0,0,N37/N$40))</f>
        <v>0.00489801346948231</v>
      </c>
      <c r="P37" s="98"/>
      <c r="Q37" s="112">
        <f>N37-I37</f>
        <v>0</v>
      </c>
      <c r="R37" s="100">
        <v>51</v>
      </c>
      <c r="S37" s="101">
        <v>0</v>
      </c>
      <c r="T37" s="101" t="s">
        <v>154</v>
      </c>
      <c r="U37" s="102"/>
      <c r="V37" s="103">
        <v>72489</v>
      </c>
      <c r="W37" s="101" t="s">
        <v>157</v>
      </c>
      <c r="X37" s="101" t="s">
        <v>151</v>
      </c>
      <c r="Y37" s="101" t="s">
        <v>156</v>
      </c>
      <c r="Z37" s="104" t="s">
        <v>151</v>
      </c>
      <c r="AA37" s="102" t="s">
        <v>155</v>
      </c>
      <c r="AB37" s="105"/>
      <c r="AC37" s="97">
        <v>72489</v>
      </c>
      <c r="AD37" s="106">
        <v>0</v>
      </c>
      <c r="AE37" s="107">
        <v>0</v>
      </c>
      <c r="AF37" s="107" t="s">
        <v>151</v>
      </c>
      <c r="AG37" s="107" t="s">
        <v>151</v>
      </c>
      <c r="AH37" s="101"/>
      <c r="AI37" s="101" t="e">
        <f>IF(#REF!="","",AC37+AE37*V37)</f>
        <v>#REF!</v>
      </c>
      <c r="AJ37" s="105" t="e">
        <f>IF(#REF!="","",#REF!*(AC37+AE37*V37))</f>
        <v>#REF!</v>
      </c>
      <c r="AK37" s="108">
        <f>IF(T37="Р/С-С",9,IF(T37="РЕПО-282",11,IF(X37="Акция",1,IF(X37="Облигация",IF(AH37=1,6,IF(AG37=1,2,IF(AG37=2,3,IF(AG37=3,4,5)))),IF(X37="Вексель",7,IF(X37="Пай",8,IF(OR(T37="ДЕПОЗИТЫ",X37="Банковский сертификат"),10,100)))))))</f>
        <v>100</v>
      </c>
    </row>
    <row r="38" spans="2:37" ht="12.75">
      <c r="B38" s="11" t="str">
        <f>data!B$41&amp;" "&amp;VLOOKUP(AK38,GroupList,2,FALSE)</f>
        <v>по всем прочим вложениям</v>
      </c>
      <c r="C38" s="12"/>
      <c r="D38" s="12"/>
      <c r="E38" s="12"/>
      <c r="F38" s="12"/>
      <c r="G38" s="12"/>
      <c r="H38" s="12"/>
      <c r="I38" s="21">
        <f>SUM(I37:I37)</f>
        <v>72489</v>
      </c>
      <c r="J38" s="57"/>
      <c r="K38" s="34">
        <f>IF(I$40=0,0,I38/I$40)</f>
        <v>0.00489758861084264</v>
      </c>
      <c r="L38" s="12"/>
      <c r="M38" s="12"/>
      <c r="N38" s="21">
        <f>SUM(N37:N37)</f>
        <v>72489</v>
      </c>
      <c r="O38" s="41">
        <f>IF(N$40=0,0,N38/N$40)</f>
        <v>0.00489801346948231</v>
      </c>
      <c r="P38" s="44"/>
      <c r="Q38" s="21">
        <f>SUM(Q37:Q37)</f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39" t="e">
        <f>SUM(AJ37:AJ37)</f>
        <v>#REF!</v>
      </c>
      <c r="AK38" s="5">
        <v>100</v>
      </c>
    </row>
    <row r="39" spans="2:37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107"/>
      <c r="AF39" s="107"/>
      <c r="AG39" s="107"/>
      <c r="AH39" s="5"/>
      <c r="AI39" s="5"/>
      <c r="AJ39" s="5"/>
      <c r="AK39" s="5"/>
    </row>
    <row r="40" spans="2:37" ht="22.5" customHeight="1">
      <c r="B40" s="2"/>
      <c r="C40" s="2"/>
      <c r="D40" s="2"/>
      <c r="E40" s="63" t="s">
        <v>19</v>
      </c>
      <c r="F40" s="63"/>
      <c r="G40" s="63"/>
      <c r="H40" s="63"/>
      <c r="I40" s="64">
        <f>SUM(I14:I38)/2</f>
        <v>14800957.32</v>
      </c>
      <c r="J40" s="65"/>
      <c r="K40" s="66">
        <f>SUM(K14:K38)/IsPercent</f>
        <v>1.0000000000000002</v>
      </c>
      <c r="L40" s="67"/>
      <c r="M40" s="67"/>
      <c r="N40" s="64">
        <f>SUM(N14:N38)/2</f>
        <v>14799673.47</v>
      </c>
      <c r="O40" s="66">
        <f>SUM(O14:O38)/IsPercent</f>
        <v>0.9999999999999999</v>
      </c>
      <c r="P40" s="66"/>
      <c r="Q40" s="64">
        <f>SUM(Q14:Q38)/2</f>
        <v>-1283.8499999999767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>
        <f>SUM(AD14:AD38)</f>
        <v>0</v>
      </c>
      <c r="AE40" s="39"/>
      <c r="AF40" s="39"/>
      <c r="AG40" s="39"/>
      <c r="AH40" s="39"/>
      <c r="AI40" s="39"/>
      <c r="AJ40" s="39"/>
      <c r="AK40" s="5"/>
    </row>
    <row r="41" spans="2:37" ht="24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2:37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2:37" ht="15" hidden="1">
      <c r="B43" s="75">
        <f>IF((data!B17+data!B33)&lt;&gt;0,"Средневзвешенная доходность управляющего*** с начала года на "&amp;TEXT(data!B1+data!B2,"ДД.ММ.ГГГГ ч:мм")&amp;"  -  "&amp;TEXT(IF(data!B19+data!B28+data!B33+data!B35=0,0,((N40-data!B17-data!B27-data!B33-data!B35)/(data!B19+data!B28+data!B33+data!B35))*data!B20/(data!B21+data!B22)),"0.000%"),"")</f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2:37" ht="12.75" hidden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2:37" s="77" customFormat="1" ht="15" hidden="1">
      <c r="B45" s="75" t="str">
        <f>"Средневзвешенная балансовая доходность портфеля с начала года на "&amp;TEXT(data!B1+data!B2,"ДД.ММ.ГГГГ ч:мм")&amp;"  -  "&amp;TEXT(IF(data!B28+data!B33+data!B35=0,0,((N40-data!B27-data!B35)/(data!B28+data!B35))*data!B20/(data!B21+data!B22)),"0.000%")</f>
        <v>Средневзвешенная балансовая доходность портфеля с начала года на 31.03.2012 23:59  -  4.539%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8"/>
      <c r="S45" s="76"/>
      <c r="T45" s="79" t="s">
        <v>99</v>
      </c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</row>
    <row r="46" spans="2:37" ht="12.75" hidden="1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2:37" ht="15" hidden="1">
      <c r="B47" s="37" t="e">
        <f>"Средневзвешенная доходность портфеля к погашению - "&amp;TEXT(IF(N40=0,0,SUM(AJ14:AJ38)/2/N40),"0.00%")</f>
        <v>#REF!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5" t="s">
        <v>62</v>
      </c>
      <c r="S47" s="47">
        <f>data!B1+IF(HOUR(data!B2)&gt;=12,1,0)-IF(AND(DAY(data!B1)=1,MONTH(data!B1)=1,data!B2=0),DATE(YEAR(data!B1)-1,1,1),DATE(YEAR(data!B1),1,1))</f>
        <v>91</v>
      </c>
      <c r="T47" s="46" t="s">
        <v>65</v>
      </c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2:37" ht="12.75" hidden="1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8" t="s">
        <v>63</v>
      </c>
      <c r="S48" s="49" t="e">
        <f>DSUM(DATABASE,"Текущая оценка RUR*",S50:S51)</f>
        <v>#VALUE!</v>
      </c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37" ht="15" hidden="1">
      <c r="B49" s="37" t="e">
        <f>IF(SUM(AI14:AI38)&lt;&gt;0,"Средневзвешенная доходность долговых ЦБ (и депозитов) к погашению - "&amp;TEXT(IF(N40=0,0,SUM(AJ14:AJ38)/2/SUM(AI14:AI38)),"0.00%"),"")</f>
        <v>#REF!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8"/>
      <c r="S49" s="49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2:37" ht="15" hidden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8" t="s">
        <v>64</v>
      </c>
      <c r="S50" s="49" t="s">
        <v>47</v>
      </c>
      <c r="T50" s="46" t="s">
        <v>56</v>
      </c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2:37" ht="12.75" hidden="1">
      <c r="B51" s="3" t="str">
        <f>"* Балансовая стоимость приведена "&amp;IF(data!B23=0,"без учёта","с учётом")&amp;" накопленных процентов и дисконтов"</f>
        <v>* Балансовая стоимость приведена с учётом накопленных процентов и дисконтов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8"/>
      <c r="S51" s="49" t="s">
        <v>48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2:37" ht="12.75" hidden="1">
      <c r="B52" s="3" t="s">
        <v>133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2:37" ht="12.75" hidden="1">
      <c r="B53" s="3">
        <f>IF((data!B17+data!B33)&lt;&gt;0,"*** - доходность дана с учетом разницы между балансовой и рыночной стоимостью на начало года, а также при вводе-выводе ЦБ в отчетном периоде","")</f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37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2:37" ht="12.75">
      <c r="B55" s="2"/>
      <c r="C55" s="2"/>
      <c r="D55" s="42" t="str">
        <f>data!B8&amp;" ___________________________ "&amp;data!B7</f>
        <v>Начальник Управления внутреннего учета ___________________________ Авакян А.А.</v>
      </c>
      <c r="E55" s="42"/>
      <c r="F55" s="4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2:37" ht="12.75">
      <c r="B56" s="2"/>
      <c r="C56" s="2"/>
      <c r="D56" s="42"/>
      <c r="E56" s="42"/>
      <c r="F56" s="42"/>
      <c r="G56" s="2" t="s">
        <v>57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2:37" ht="12.75" hidden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8:37" ht="12.75" hidden="1"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8:37" ht="12.75" hidden="1"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/>
    <row r="78" ht="12.75"/>
    <row r="79" ht="12.75"/>
    <row r="80" ht="12.75"/>
    <row r="81" ht="12.75"/>
    <row r="82" ht="12.75"/>
  </sheetData>
  <sheetProtection/>
  <mergeCells count="1">
    <mergeCell ref="E12:N12"/>
  </mergeCells>
  <printOptions/>
  <pageMargins left="0.4330708661417323" right="0.4724409448818898" top="0.984251968503937" bottom="0.984251968503937" header="0.5118110236220472" footer="0.5118110236220472"/>
  <pageSetup fitToHeight="99" fitToWidth="1" horizontalDpi="600" verticalDpi="600" orientation="landscape" paperSize="9" scale="65" r:id="rId4"/>
  <headerFooter alignWithMargins="0">
    <oddFooter>&amp;CСтраница &amp;P из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0" ht="102" customHeight="1">
      <c r="A1" s="120" t="s">
        <v>140</v>
      </c>
      <c r="B1" s="119"/>
      <c r="C1" s="119"/>
      <c r="D1" s="119"/>
      <c r="E1" s="119"/>
      <c r="F1" s="119"/>
      <c r="G1" s="119"/>
      <c r="H1" s="119"/>
      <c r="I1" s="119"/>
      <c r="J1" s="119"/>
    </row>
    <row r="2" ht="12.75">
      <c r="A2" t="s">
        <v>141</v>
      </c>
    </row>
    <row r="3" ht="12.75">
      <c r="A3" t="s">
        <v>142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1.375" style="0" customWidth="1"/>
    <col min="2" max="2" width="39.25390625" style="0" customWidth="1"/>
    <col min="3" max="3" width="21.25390625" style="0" customWidth="1"/>
  </cols>
  <sheetData>
    <row r="1" ht="12.75">
      <c r="B1" s="6" t="s">
        <v>143</v>
      </c>
    </row>
    <row r="2" ht="12.75">
      <c r="B2" s="7">
        <v>0.9999884259259259</v>
      </c>
    </row>
    <row r="3" ht="12.75">
      <c r="B3" s="74"/>
    </row>
    <row r="4" ht="12.75">
      <c r="B4" s="8" t="s">
        <v>144</v>
      </c>
    </row>
    <row r="5" ht="12.75">
      <c r="B5" s="8" t="s">
        <v>145</v>
      </c>
    </row>
    <row r="6" spans="1:2" ht="12.75">
      <c r="A6" t="s">
        <v>8</v>
      </c>
      <c r="B6" s="9" t="s">
        <v>146</v>
      </c>
    </row>
    <row r="7" spans="1:2" ht="12.75">
      <c r="A7" t="s">
        <v>7</v>
      </c>
      <c r="B7" s="9" t="s">
        <v>147</v>
      </c>
    </row>
    <row r="8" spans="1:2" ht="12.75">
      <c r="A8" t="s">
        <v>6</v>
      </c>
      <c r="B8" s="9" t="s">
        <v>148</v>
      </c>
    </row>
    <row r="9" spans="1:2" ht="12.75">
      <c r="A9" t="s">
        <v>9</v>
      </c>
      <c r="B9" s="9" t="s">
        <v>149</v>
      </c>
    </row>
    <row r="10" spans="1:2" ht="12.75">
      <c r="A10" t="s">
        <v>36</v>
      </c>
      <c r="B10" s="9" t="s">
        <v>150</v>
      </c>
    </row>
    <row r="11" spans="1:2" ht="12.75">
      <c r="A11" t="s">
        <v>24</v>
      </c>
      <c r="B11" s="9">
        <v>29.3282</v>
      </c>
    </row>
    <row r="12" spans="1:2" ht="12.75">
      <c r="A12" t="s">
        <v>26</v>
      </c>
      <c r="B12" s="9" t="s">
        <v>143</v>
      </c>
    </row>
    <row r="13" ht="12.75">
      <c r="B13" s="80" t="s">
        <v>151</v>
      </c>
    </row>
    <row r="14" ht="12.75">
      <c r="B14" s="80" t="s">
        <v>152</v>
      </c>
    </row>
    <row r="15" spans="1:2" ht="12.75">
      <c r="A15" t="s">
        <v>110</v>
      </c>
      <c r="B15" s="9" t="s">
        <v>153</v>
      </c>
    </row>
    <row r="16" spans="1:11" s="84" customFormat="1" ht="38.25">
      <c r="A16" s="84" t="s">
        <v>123</v>
      </c>
      <c r="B16" s="85">
        <v>0</v>
      </c>
      <c r="C16" s="115" t="s">
        <v>127</v>
      </c>
      <c r="D16" s="116"/>
      <c r="E16" s="116"/>
      <c r="F16" s="116"/>
      <c r="G16" s="116"/>
      <c r="H16" s="116"/>
      <c r="I16" s="116"/>
      <c r="J16" s="116"/>
      <c r="K16" s="116"/>
    </row>
    <row r="17" spans="1:11" s="84" customFormat="1" ht="38.25">
      <c r="A17" s="84" t="s">
        <v>124</v>
      </c>
      <c r="B17" s="85">
        <v>0</v>
      </c>
      <c r="C17" s="115" t="s">
        <v>132</v>
      </c>
      <c r="D17" s="116"/>
      <c r="E17" s="116"/>
      <c r="F17" s="116"/>
      <c r="G17" s="116"/>
      <c r="H17" s="116"/>
      <c r="I17" s="116"/>
      <c r="J17" s="116"/>
      <c r="K17" s="116"/>
    </row>
    <row r="18" spans="1:11" s="84" customFormat="1" ht="38.25">
      <c r="A18" s="84" t="s">
        <v>121</v>
      </c>
      <c r="B18" s="85">
        <v>0</v>
      </c>
      <c r="C18" s="117" t="s">
        <v>128</v>
      </c>
      <c r="D18" s="118"/>
      <c r="E18" s="118"/>
      <c r="F18" s="118"/>
      <c r="G18" s="118"/>
      <c r="H18" s="118"/>
      <c r="I18" s="118"/>
      <c r="J18" s="118"/>
      <c r="K18" s="118"/>
    </row>
    <row r="19" spans="1:3" s="86" customFormat="1" ht="25.5">
      <c r="A19" s="86" t="s">
        <v>122</v>
      </c>
      <c r="B19" s="85">
        <v>0</v>
      </c>
      <c r="C19" s="87"/>
    </row>
    <row r="20" spans="1:2" ht="12.75">
      <c r="A20" t="s">
        <v>112</v>
      </c>
      <c r="B20" s="9">
        <v>366</v>
      </c>
    </row>
    <row r="21" spans="1:2" ht="12.75">
      <c r="A21" t="s">
        <v>113</v>
      </c>
      <c r="B21" s="9">
        <v>90</v>
      </c>
    </row>
    <row r="22" spans="1:2" ht="12.75">
      <c r="A22" t="s">
        <v>125</v>
      </c>
      <c r="B22" s="9">
        <v>1</v>
      </c>
    </row>
    <row r="23" ht="12.75">
      <c r="B23" s="10">
        <v>1</v>
      </c>
    </row>
    <row r="27" spans="1:2" ht="12.75">
      <c r="A27" t="s">
        <v>39</v>
      </c>
      <c r="B27" s="35">
        <v>14650504.09</v>
      </c>
    </row>
    <row r="28" spans="1:2" ht="12.75">
      <c r="A28" t="s">
        <v>41</v>
      </c>
      <c r="B28" s="36">
        <v>13217712.88</v>
      </c>
    </row>
    <row r="29" spans="1:2" ht="12.75">
      <c r="A29" t="s">
        <v>43</v>
      </c>
      <c r="B29" s="36">
        <v>0</v>
      </c>
    </row>
    <row r="30" spans="1:2" ht="12.75">
      <c r="A30" t="s">
        <v>81</v>
      </c>
      <c r="B30" s="36">
        <v>0</v>
      </c>
    </row>
    <row r="31" spans="1:2" ht="12.75">
      <c r="A31" t="s">
        <v>45</v>
      </c>
      <c r="B31" s="36">
        <v>0</v>
      </c>
    </row>
    <row r="32" spans="1:2" ht="12.75">
      <c r="A32" t="s">
        <v>115</v>
      </c>
      <c r="B32" s="36">
        <v>0</v>
      </c>
    </row>
    <row r="33" spans="1:2" ht="12.75">
      <c r="A33" t="s">
        <v>98</v>
      </c>
      <c r="B33" s="36">
        <v>0</v>
      </c>
    </row>
    <row r="34" spans="1:2" ht="25.5">
      <c r="A34" s="61" t="s">
        <v>83</v>
      </c>
      <c r="B34" s="62">
        <v>93484.94</v>
      </c>
    </row>
    <row r="35" spans="1:3" ht="28.5" customHeight="1">
      <c r="A35" s="83" t="s">
        <v>120</v>
      </c>
      <c r="B35" s="51">
        <v>0</v>
      </c>
      <c r="C35" s="83" t="s">
        <v>119</v>
      </c>
    </row>
    <row r="36" ht="12.75">
      <c r="B36" s="54"/>
    </row>
    <row r="37" ht="12.75">
      <c r="B37" s="54"/>
    </row>
    <row r="38" spans="1:3" ht="12.75">
      <c r="A38" t="s">
        <v>69</v>
      </c>
      <c r="B38" s="52">
        <f>B27+B29+IF(B30&lt;0,B30,0)</f>
        <v>14650504.09</v>
      </c>
      <c r="C38" s="53" t="s">
        <v>82</v>
      </c>
    </row>
    <row r="39" spans="1:3" ht="12.75">
      <c r="A39" t="s">
        <v>70</v>
      </c>
      <c r="B39" s="52">
        <f>B28+B29</f>
        <v>13217712.88</v>
      </c>
      <c r="C39" s="53" t="s">
        <v>71</v>
      </c>
    </row>
    <row r="40" spans="2:3" ht="12.75">
      <c r="B40" s="52"/>
      <c r="C40" s="53"/>
    </row>
    <row r="41" ht="12.75">
      <c r="B41" s="50" t="s">
        <v>66</v>
      </c>
    </row>
    <row r="42" spans="1:5" ht="12.75">
      <c r="A42" s="23">
        <v>1</v>
      </c>
      <c r="B42" s="24" t="s">
        <v>30</v>
      </c>
      <c r="C42" t="str">
        <f>"акции - "&amp;TEXT(D42,"0.00%")</f>
        <v>акции - 294755990.00%</v>
      </c>
      <c r="D42" s="9">
        <f>MAX(VLOOKUP(B$41&amp;" "&amp;B42,ФинВложения!B$14:Q$38,13,FALSE),0)</f>
        <v>2947559.9000000004</v>
      </c>
      <c r="E42">
        <v>4</v>
      </c>
    </row>
    <row r="43" spans="1:5" ht="12.75">
      <c r="A43" s="25">
        <v>5</v>
      </c>
      <c r="B43" s="26" t="s">
        <v>109</v>
      </c>
      <c r="C43" t="str">
        <f>"облигации предприятий и организаций - "&amp;TEXT(D43,"0.00%")</f>
        <v>облигации предприятий и организаций - 264568280.00%</v>
      </c>
      <c r="D43" s="9">
        <f>MAX(VLOOKUP(B$41&amp;" "&amp;B43,ФинВложения!B$14:Q$38,13,FALSE),0)</f>
        <v>2645682.8000000003</v>
      </c>
      <c r="E43">
        <v>7</v>
      </c>
    </row>
    <row r="44" spans="1:5" ht="12.75">
      <c r="A44" s="25">
        <v>9</v>
      </c>
      <c r="B44" s="26" t="s">
        <v>50</v>
      </c>
      <c r="C44" t="str">
        <f>"денежные средства у брокера - "&amp;TEXT(D44,"0.00%")</f>
        <v>денежные средства у брокера - 3353193.00%</v>
      </c>
      <c r="D44" s="9">
        <f>MAX(VLOOKUP(B$41&amp;" "&amp;B44,ФинВложения!B$14:Q$38,13,FALSE),0)</f>
        <v>33531.93</v>
      </c>
      <c r="E44">
        <v>10</v>
      </c>
    </row>
    <row r="45" spans="1:5" ht="12.75">
      <c r="A45" s="25">
        <v>10</v>
      </c>
      <c r="B45" s="26" t="s">
        <v>34</v>
      </c>
      <c r="C45" t="str">
        <f>"депозиты - "&amp;TEXT(D45,"0.00%")</f>
        <v>депозиты - 910040984.00%</v>
      </c>
      <c r="D45" s="9">
        <f>MAX(VLOOKUP(B$41&amp;" "&amp;B45,ФинВложения!B$14:Q$38,13,FALSE),0)</f>
        <v>9100409.84</v>
      </c>
      <c r="E45">
        <v>11</v>
      </c>
    </row>
    <row r="46" spans="1:5" ht="12.75">
      <c r="A46" s="27">
        <v>100</v>
      </c>
      <c r="B46" s="28" t="s">
        <v>35</v>
      </c>
      <c r="C46" t="str">
        <f>"прочие вложения - "&amp;TEXT(D46,"0.00%")</f>
        <v>прочие вложения - 7248900.00%</v>
      </c>
      <c r="D46" s="9">
        <f>MAX(VLOOKUP(B$41&amp;" "&amp;B46,ФинВложения!B$14:Q$38,13,FALSE),0)</f>
        <v>72489</v>
      </c>
      <c r="E46">
        <v>12</v>
      </c>
    </row>
    <row r="48" ht="12.75">
      <c r="B48" t="s">
        <v>80</v>
      </c>
    </row>
    <row r="49" ht="12.75">
      <c r="B49" t="s">
        <v>79</v>
      </c>
    </row>
    <row r="51" ht="12.75">
      <c r="B51">
        <v>2</v>
      </c>
    </row>
  </sheetData>
  <sheetProtection/>
  <mergeCells count="3">
    <mergeCell ref="C16:K16"/>
    <mergeCell ref="C17:K17"/>
    <mergeCell ref="C18:K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1.375" style="0" customWidth="1"/>
    <col min="2" max="2" width="39.25390625" style="0" customWidth="1"/>
    <col min="3" max="3" width="21.25390625" style="0" customWidth="1"/>
  </cols>
  <sheetData>
    <row r="1" ht="12.75">
      <c r="B1" s="6" t="s">
        <v>105</v>
      </c>
    </row>
    <row r="2" ht="12.75">
      <c r="B2" s="7" t="s">
        <v>104</v>
      </c>
    </row>
    <row r="3" ht="12.75">
      <c r="B3" s="74"/>
    </row>
    <row r="4" ht="12.75">
      <c r="B4" s="8" t="s">
        <v>102</v>
      </c>
    </row>
    <row r="5" ht="12.75">
      <c r="B5" s="8" t="s">
        <v>29</v>
      </c>
    </row>
    <row r="6" spans="1:2" ht="12.75">
      <c r="A6" t="s">
        <v>8</v>
      </c>
      <c r="B6" s="9" t="s">
        <v>10</v>
      </c>
    </row>
    <row r="7" spans="1:2" ht="12.75">
      <c r="A7" t="s">
        <v>7</v>
      </c>
      <c r="B7" s="9" t="s">
        <v>138</v>
      </c>
    </row>
    <row r="8" spans="1:2" ht="12.75">
      <c r="A8" t="s">
        <v>6</v>
      </c>
      <c r="B8" s="9" t="s">
        <v>139</v>
      </c>
    </row>
    <row r="9" spans="1:2" ht="12.75">
      <c r="A9" t="s">
        <v>9</v>
      </c>
      <c r="B9" s="9" t="s">
        <v>96</v>
      </c>
    </row>
    <row r="10" spans="1:2" ht="12.75">
      <c r="A10" t="s">
        <v>36</v>
      </c>
      <c r="B10" s="9" t="s">
        <v>37</v>
      </c>
    </row>
    <row r="11" spans="1:2" ht="12.75">
      <c r="A11" t="s">
        <v>24</v>
      </c>
      <c r="B11" s="9" t="s">
        <v>103</v>
      </c>
    </row>
    <row r="12" spans="1:2" ht="12.75">
      <c r="A12" t="s">
        <v>26</v>
      </c>
      <c r="B12" s="9" t="s">
        <v>25</v>
      </c>
    </row>
    <row r="13" ht="12.75">
      <c r="B13" s="80" t="s">
        <v>116</v>
      </c>
    </row>
    <row r="14" ht="12.75">
      <c r="B14" s="80" t="s">
        <v>117</v>
      </c>
    </row>
    <row r="15" spans="1:2" ht="12.75">
      <c r="A15" t="s">
        <v>110</v>
      </c>
      <c r="B15" s="9" t="s">
        <v>111</v>
      </c>
    </row>
    <row r="16" spans="1:11" s="84" customFormat="1" ht="38.25">
      <c r="A16" s="84" t="s">
        <v>123</v>
      </c>
      <c r="B16" s="85" t="s">
        <v>129</v>
      </c>
      <c r="C16" s="115" t="s">
        <v>127</v>
      </c>
      <c r="D16" s="116"/>
      <c r="E16" s="116"/>
      <c r="F16" s="116"/>
      <c r="G16" s="116"/>
      <c r="H16" s="116"/>
      <c r="I16" s="116"/>
      <c r="J16" s="116"/>
      <c r="K16" s="116"/>
    </row>
    <row r="17" spans="1:11" s="84" customFormat="1" ht="38.25">
      <c r="A17" s="84" t="s">
        <v>124</v>
      </c>
      <c r="B17" s="85" t="s">
        <v>131</v>
      </c>
      <c r="C17" s="115" t="s">
        <v>132</v>
      </c>
      <c r="D17" s="116"/>
      <c r="E17" s="116"/>
      <c r="F17" s="116"/>
      <c r="G17" s="116"/>
      <c r="H17" s="116"/>
      <c r="I17" s="116"/>
      <c r="J17" s="116"/>
      <c r="K17" s="116"/>
    </row>
    <row r="18" spans="1:11" s="84" customFormat="1" ht="38.25">
      <c r="A18" s="84" t="s">
        <v>121</v>
      </c>
      <c r="B18" s="85" t="s">
        <v>126</v>
      </c>
      <c r="C18" s="117" t="s">
        <v>128</v>
      </c>
      <c r="D18" s="118"/>
      <c r="E18" s="118"/>
      <c r="F18" s="118"/>
      <c r="G18" s="118"/>
      <c r="H18" s="118"/>
      <c r="I18" s="118"/>
      <c r="J18" s="118"/>
      <c r="K18" s="118"/>
    </row>
    <row r="19" spans="1:3" s="86" customFormat="1" ht="25.5">
      <c r="A19" s="86" t="s">
        <v>122</v>
      </c>
      <c r="B19" s="85" t="s">
        <v>130</v>
      </c>
      <c r="C19" s="87"/>
    </row>
    <row r="20" spans="1:2" ht="12.75">
      <c r="A20" t="s">
        <v>112</v>
      </c>
      <c r="B20" s="9" t="str">
        <f>"EncodeDate( year( '"&amp;B15&amp;"')+1, 1, 1 )-Date( '"&amp;B15&amp;"' )"</f>
        <v>EncodeDate( year( 'iif( encodeDate( year( date(EndDate.text) ), 1, 1 )=Date(EndDate.text),  encodeDate( year( date(EndDate.text)-1 ), 1, 1 ),  encodeDate( year( date(EndDate.text) ), 1, 1 ))')+1, 1, 1 )-Date( 'iif( encodeDate( year( date(EndDate.text) ), 1, 1 )=Date(EndDate.text),  encodeDate( year( date(EndDate.text)-1 ), 1, 1 ),  encodeDate( year( date(EndDate.text) ), 1, 1 ))' )</v>
      </c>
    </row>
    <row r="21" spans="1:2" ht="12.75">
      <c r="A21" t="s">
        <v>113</v>
      </c>
      <c r="B21" s="9" t="str">
        <f>"Date( EndDate.text )-Date( '"&amp;B15&amp;"' )"</f>
        <v>Date( EndDate.text )-Date( 'iif( encodeDate( year( date(EndDate.text) ), 1, 1 )=Date(EndDate.text),  encodeDate( year( date(EndDate.text)-1 ), 1, 1 ),  encodeDate( year( date(EndDate.text) ), 1, 1 ))' )</v>
      </c>
    </row>
    <row r="22" spans="1:2" ht="12.75">
      <c r="A22" t="s">
        <v>125</v>
      </c>
      <c r="B22" s="9" t="e">
        <f>IF(HOUR(B2)&gt;=20,1,0)</f>
        <v>#VALUE!</v>
      </c>
    </row>
    <row r="23" ht="12.75">
      <c r="B23" s="10" t="s">
        <v>76</v>
      </c>
    </row>
    <row r="27" spans="1:2" ht="12.75">
      <c r="A27" t="s">
        <v>39</v>
      </c>
      <c r="B27" s="35" t="s">
        <v>40</v>
      </c>
    </row>
    <row r="28" spans="1:2" ht="12.75">
      <c r="A28" t="s">
        <v>41</v>
      </c>
      <c r="B28" s="36" t="s">
        <v>42</v>
      </c>
    </row>
    <row r="29" spans="1:2" ht="12.75">
      <c r="A29" t="s">
        <v>43</v>
      </c>
      <c r="B29" s="36" t="s">
        <v>44</v>
      </c>
    </row>
    <row r="30" spans="1:2" ht="12.75">
      <c r="A30" t="s">
        <v>81</v>
      </c>
      <c r="B30" s="36" t="s">
        <v>68</v>
      </c>
    </row>
    <row r="31" spans="1:2" ht="12.75">
      <c r="A31" t="s">
        <v>45</v>
      </c>
      <c r="B31" s="36" t="s">
        <v>46</v>
      </c>
    </row>
    <row r="32" spans="1:2" ht="12.75">
      <c r="A32" t="s">
        <v>115</v>
      </c>
      <c r="B32" s="36" t="s">
        <v>114</v>
      </c>
    </row>
    <row r="33" spans="1:2" ht="12.75">
      <c r="A33" t="s">
        <v>98</v>
      </c>
      <c r="B33" s="36" t="s">
        <v>97</v>
      </c>
    </row>
    <row r="34" spans="1:2" ht="25.5">
      <c r="A34" s="61" t="s">
        <v>83</v>
      </c>
      <c r="B34" s="62" t="s">
        <v>84</v>
      </c>
    </row>
    <row r="35" spans="1:3" ht="28.5" customHeight="1">
      <c r="A35" s="83" t="s">
        <v>120</v>
      </c>
      <c r="B35" s="51" t="s">
        <v>118</v>
      </c>
      <c r="C35" s="83" t="s">
        <v>119</v>
      </c>
    </row>
    <row r="36" ht="12.75">
      <c r="B36" s="54"/>
    </row>
    <row r="37" ht="12.75">
      <c r="B37" s="54"/>
    </row>
    <row r="38" spans="1:3" ht="12.75">
      <c r="A38" t="s">
        <v>69</v>
      </c>
      <c r="B38" s="52" t="e">
        <f>B27+B29+IF(B30&lt;0,B30,0)</f>
        <v>#VALUE!</v>
      </c>
      <c r="C38" s="53" t="s">
        <v>82</v>
      </c>
    </row>
    <row r="39" spans="1:3" ht="12.75">
      <c r="A39" t="s">
        <v>70</v>
      </c>
      <c r="B39" s="52" t="e">
        <f>B28+B29</f>
        <v>#VALUE!</v>
      </c>
      <c r="C39" s="53" t="s">
        <v>71</v>
      </c>
    </row>
    <row r="40" spans="2:3" ht="12.75">
      <c r="B40" s="52"/>
      <c r="C40" s="53"/>
    </row>
    <row r="41" ht="12.75">
      <c r="B41" s="50" t="s">
        <v>66</v>
      </c>
    </row>
    <row r="42" spans="1:5" ht="12.75">
      <c r="A42" s="23">
        <v>1</v>
      </c>
      <c r="B42" s="24" t="s">
        <v>30</v>
      </c>
      <c r="C42" t="str">
        <f>"акции - "&amp;TEXT(D42,"0.00%")</f>
        <v>акции - 294755990.00%</v>
      </c>
      <c r="D42" s="9">
        <f>MAX(VLOOKUP(B$41&amp;" "&amp;B42,ФинВложения!B$14:Q$38,13,FALSE),0)</f>
        <v>2947559.9000000004</v>
      </c>
      <c r="E42">
        <v>4</v>
      </c>
    </row>
    <row r="43" spans="1:5" ht="12.75">
      <c r="A43" s="25">
        <v>2</v>
      </c>
      <c r="B43" s="26" t="s">
        <v>31</v>
      </c>
      <c r="C43" t="e">
        <f>"федеральные облигации - "&amp;TEXT(D43,"0.00%")</f>
        <v>#N/A</v>
      </c>
      <c r="D43" s="9" t="e">
        <f>MAX(VLOOKUP(B$41&amp;" "&amp;B43,ФинВложения!B$14:Q$38,13,FALSE),0)</f>
        <v>#N/A</v>
      </c>
      <c r="E43">
        <v>5</v>
      </c>
    </row>
    <row r="44" spans="1:5" ht="12.75">
      <c r="A44" s="25">
        <v>3</v>
      </c>
      <c r="B44" s="26" t="s">
        <v>32</v>
      </c>
      <c r="C44" t="e">
        <f>"облигации субъектов РФ - "&amp;TEXT(D44,"0.00%")</f>
        <v>#N/A</v>
      </c>
      <c r="D44" s="9" t="e">
        <f>MAX(VLOOKUP(B$41&amp;" "&amp;B44,ФинВложения!B$14:Q$38,13,FALSE),0)</f>
        <v>#N/A</v>
      </c>
      <c r="E44">
        <v>6</v>
      </c>
    </row>
    <row r="45" spans="1:4" ht="12.75">
      <c r="A45" s="25">
        <v>4</v>
      </c>
      <c r="B45" s="26" t="s">
        <v>85</v>
      </c>
      <c r="C45" t="e">
        <f>"муниципальные облигации - "&amp;TEXT(D45,"0.00%")</f>
        <v>#N/A</v>
      </c>
      <c r="D45" s="9" t="e">
        <f>MAX(VLOOKUP(B$41&amp;" "&amp;B45,ФинВложения!B$14:Q$38,13,FALSE),0)</f>
        <v>#N/A</v>
      </c>
    </row>
    <row r="46" spans="1:5" ht="12.75">
      <c r="A46" s="25">
        <v>5</v>
      </c>
      <c r="B46" s="26" t="s">
        <v>109</v>
      </c>
      <c r="C46" t="str">
        <f>"облигации предприятий и организаций - "&amp;TEXT(D46,"0.00%")</f>
        <v>облигации предприятий и организаций - 264568280.00%</v>
      </c>
      <c r="D46" s="9">
        <f>MAX(VLOOKUP(B$41&amp;" "&amp;B46,ФинВложения!B$14:Q$38,13,FALSE),0)</f>
        <v>2645682.8000000003</v>
      </c>
      <c r="E46">
        <v>7</v>
      </c>
    </row>
    <row r="47" spans="1:4" ht="12.75">
      <c r="A47" s="25">
        <v>6</v>
      </c>
      <c r="B47" s="26" t="s">
        <v>106</v>
      </c>
      <c r="C47" t="e">
        <f>"облигации с ипотечным покрытием - "&amp;TEXT(D47,"0.00%")</f>
        <v>#N/A</v>
      </c>
      <c r="D47" s="9" t="e">
        <f>MAX(VLOOKUP(B$41&amp;" "&amp;B47,ФинВложения!B$14:Q$38,13,FALSE),0)</f>
        <v>#N/A</v>
      </c>
    </row>
    <row r="48" spans="1:5" ht="12.75">
      <c r="A48" s="25">
        <v>7</v>
      </c>
      <c r="B48" s="26" t="s">
        <v>33</v>
      </c>
      <c r="C48" t="e">
        <f>"вексели - "&amp;TEXT(D48,"0.00%")</f>
        <v>#N/A</v>
      </c>
      <c r="D48" s="9" t="e">
        <f>MAX(VLOOKUP(B$41&amp;" "&amp;B48,ФинВложения!B$14:Q$38,13,FALSE),0)</f>
        <v>#N/A</v>
      </c>
      <c r="E48">
        <v>8</v>
      </c>
    </row>
    <row r="49" spans="1:5" ht="12.75">
      <c r="A49" s="25">
        <v>8</v>
      </c>
      <c r="B49" s="26" t="s">
        <v>67</v>
      </c>
      <c r="C49" t="e">
        <f>"паи - "&amp;TEXT(D49,"0.00%")</f>
        <v>#N/A</v>
      </c>
      <c r="D49" s="9" t="e">
        <f>MAX(VLOOKUP(B$41&amp;" "&amp;B49,ФинВложения!B$14:Q$38,13,FALSE),0)</f>
        <v>#N/A</v>
      </c>
      <c r="E49">
        <v>9</v>
      </c>
    </row>
    <row r="50" spans="1:5" ht="12.75">
      <c r="A50" s="25">
        <v>9</v>
      </c>
      <c r="B50" s="26" t="s">
        <v>50</v>
      </c>
      <c r="C50" t="str">
        <f>"денежные средства у брокера - "&amp;TEXT(D50,"0.00%")</f>
        <v>денежные средства у брокера - 3353193.00%</v>
      </c>
      <c r="D50" s="9">
        <f>MAX(VLOOKUP(B$41&amp;" "&amp;B50,ФинВложения!B$14:Q$38,13,FALSE),0)</f>
        <v>33531.93</v>
      </c>
      <c r="E50">
        <v>10</v>
      </c>
    </row>
    <row r="51" spans="1:5" ht="12.75">
      <c r="A51" s="25">
        <v>10</v>
      </c>
      <c r="B51" s="26" t="s">
        <v>34</v>
      </c>
      <c r="C51" t="str">
        <f>"депозиты - "&amp;TEXT(D51,"0.00%")</f>
        <v>депозиты - 910040984.00%</v>
      </c>
      <c r="D51" s="9">
        <f>MAX(VLOOKUP(B$41&amp;" "&amp;B51,ФинВложения!B$14:Q$38,13,FALSE),0)</f>
        <v>9100409.84</v>
      </c>
      <c r="E51">
        <v>11</v>
      </c>
    </row>
    <row r="52" spans="1:4" ht="12.75">
      <c r="A52" s="25">
        <v>11</v>
      </c>
      <c r="B52" s="26" t="s">
        <v>107</v>
      </c>
      <c r="C52" t="e">
        <f>"сделки РЕПО - "&amp;TEXT(D52,"0.00%")</f>
        <v>#N/A</v>
      </c>
      <c r="D52" s="9" t="e">
        <f>MAX(VLOOKUP(B$41&amp;" "&amp;B52,ФинВложения!B$14:Q$38,13,FALSE),0)</f>
        <v>#N/A</v>
      </c>
    </row>
    <row r="53" spans="1:5" ht="12.75">
      <c r="A53" s="27">
        <v>100</v>
      </c>
      <c r="B53" s="28" t="s">
        <v>35</v>
      </c>
      <c r="C53" t="str">
        <f>"прочие вложения - "&amp;TEXT(D53,"0.00%")</f>
        <v>прочие вложения - 7248900.00%</v>
      </c>
      <c r="D53" s="9">
        <f>MAX(VLOOKUP(B$41&amp;" "&amp;B53,ФинВложения!B$14:Q$38,13,FALSE),0)</f>
        <v>72489</v>
      </c>
      <c r="E53">
        <v>12</v>
      </c>
    </row>
    <row r="55" ht="12.75">
      <c r="B55" t="s">
        <v>80</v>
      </c>
    </row>
    <row r="56" ht="12.75">
      <c r="B56" t="s">
        <v>79</v>
      </c>
    </row>
    <row r="58" ht="12.75">
      <c r="B58">
        <v>2</v>
      </c>
    </row>
  </sheetData>
  <sheetProtection/>
  <mergeCells count="3">
    <mergeCell ref="C16:K16"/>
    <mergeCell ref="C17:K17"/>
    <mergeCell ref="C18:K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0"/>
  <sheetViews>
    <sheetView showGridLines="0" zoomScale="80" zoomScaleNormal="80" zoomScalePageLayoutView="0" workbookViewId="0" topLeftCell="A1">
      <selection activeCell="D37" sqref="D37"/>
    </sheetView>
  </sheetViews>
  <sheetFormatPr defaultColWidth="9.00390625" defaultRowHeight="12.75"/>
  <cols>
    <col min="1" max="1" width="1.12109375" style="1" customWidth="1"/>
    <col min="2" max="2" width="7.00390625" style="1" customWidth="1"/>
    <col min="3" max="3" width="6.375" style="1" customWidth="1"/>
    <col min="4" max="4" width="27.875" style="1" customWidth="1"/>
    <col min="5" max="6" width="15.375" style="1" customWidth="1"/>
    <col min="7" max="7" width="10.25390625" style="1" customWidth="1"/>
    <col min="8" max="8" width="12.00390625" style="1" customWidth="1"/>
    <col min="9" max="9" width="15.875" style="1" customWidth="1"/>
    <col min="10" max="10" width="12.375" style="1" customWidth="1"/>
    <col min="11" max="12" width="12.25390625" style="1" customWidth="1"/>
    <col min="13" max="13" width="17.125" style="1" customWidth="1"/>
    <col min="14" max="14" width="15.00390625" style="1" bestFit="1" customWidth="1"/>
    <col min="15" max="15" width="9.625" style="1" customWidth="1"/>
    <col min="16" max="16" width="11.625" style="1" customWidth="1"/>
    <col min="17" max="17" width="11.75390625" style="1" customWidth="1"/>
    <col min="18" max="18" width="14.125" style="1" customWidth="1"/>
    <col min="19" max="19" width="8.125" style="1" hidden="1" customWidth="1"/>
    <col min="20" max="20" width="8.625" style="1" hidden="1" customWidth="1"/>
    <col min="21" max="21" width="11.625" style="1" hidden="1" customWidth="1"/>
    <col min="22" max="23" width="10.75390625" style="1" hidden="1" customWidth="1"/>
    <col min="24" max="24" width="8.00390625" style="1" hidden="1" customWidth="1"/>
    <col min="25" max="25" width="6.125" style="1" hidden="1" customWidth="1"/>
    <col min="26" max="26" width="0.74609375" style="1" hidden="1" customWidth="1"/>
    <col min="27" max="27" width="11.125" style="1" hidden="1" customWidth="1"/>
    <col min="28" max="30" width="10.625" style="1" hidden="1" customWidth="1"/>
    <col min="31" max="31" width="12.625" style="1" hidden="1" customWidth="1"/>
    <col min="32" max="33" width="9.125" style="1" hidden="1" customWidth="1"/>
    <col min="34" max="34" width="14.625" style="1" hidden="1" customWidth="1"/>
    <col min="35" max="36" width="10.625" style="1" hidden="1" customWidth="1"/>
    <col min="37" max="37" width="11.75390625" style="1" hidden="1" customWidth="1"/>
    <col min="38" max="38" width="9.125" style="1" hidden="1" customWidth="1"/>
    <col min="39" max="16384" width="9.125" style="1" customWidth="1"/>
  </cols>
  <sheetData>
    <row r="1" spans="2:38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2:38" ht="12.75">
      <c r="B2" s="3"/>
      <c r="C2" s="3"/>
      <c r="D2" s="3"/>
      <c r="E2" s="33" t="str">
        <f>data!B6</f>
        <v>Общество с ограниченной ответственностью "Управляющая компания "ОТКРЫТИЕ"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2:38" ht="12.75">
      <c r="B3" s="3"/>
      <c r="C3" s="3"/>
      <c r="D3" s="3"/>
      <c r="E3" s="33" t="str">
        <f>data!B9</f>
        <v>Лицензия УК № 21-000-1-00048 от 11.04.2001г.; лицензия ДУ № 077-07524-001000 от 23.03.2004г.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2:38" ht="12.75">
      <c r="B4" s="3"/>
      <c r="C4" s="3"/>
      <c r="D4" s="3"/>
      <c r="E4" s="33" t="str">
        <f>data!B10</f>
        <v>119021, г. Москва, ул. Тимура Фрунзе, д. 11, стр. 13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2:38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2:38" ht="18">
      <c r="B6" s="3"/>
      <c r="C6" s="3"/>
      <c r="D6" s="3"/>
      <c r="E6" s="58" t="s">
        <v>101</v>
      </c>
      <c r="F6" s="58"/>
      <c r="G6" s="30"/>
      <c r="H6" s="30"/>
      <c r="I6" s="30"/>
      <c r="J6" s="30"/>
      <c r="K6" s="30"/>
      <c r="L6" s="30"/>
      <c r="M6" s="30"/>
      <c r="N6" s="30"/>
      <c r="O6"/>
      <c r="P6"/>
      <c r="Q6"/>
      <c r="R6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2:38" ht="15">
      <c r="B7" s="2"/>
      <c r="C7" s="4"/>
      <c r="D7" s="3"/>
      <c r="E7" s="59" t="str">
        <f>"на "&amp;TEXT(data!B1,"ДД.ММ.ГГГГ")&amp;" "&amp;TEXT(data!B2,"ч:мм")</f>
        <v>на 31.03.2012 23:59</v>
      </c>
      <c r="F7" s="59"/>
      <c r="G7" s="60"/>
      <c r="H7" s="30"/>
      <c r="I7" s="30"/>
      <c r="J7" s="30"/>
      <c r="K7" s="30"/>
      <c r="L7" s="30"/>
      <c r="M7" s="30"/>
      <c r="N7" s="30"/>
      <c r="O7"/>
      <c r="P7"/>
      <c r="Q7"/>
      <c r="R7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2:38" ht="12.75">
      <c r="B8" s="2"/>
      <c r="C8" s="4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2:38" ht="14.25">
      <c r="B9" s="2"/>
      <c r="C9" s="31"/>
      <c r="D9" s="30"/>
      <c r="E9" s="32" t="str">
        <f>"Инвестор: "&amp;data!B4</f>
        <v>Инвестор: Фонд собственник целевого капитала "Эндаумент НГУ"</v>
      </c>
      <c r="F9" s="32"/>
      <c r="G9" s="30"/>
      <c r="H9" s="30"/>
      <c r="I9" s="30"/>
      <c r="J9" s="30"/>
      <c r="K9" s="30"/>
      <c r="L9" s="30"/>
      <c r="M9" s="30"/>
      <c r="N9" s="81">
        <f>IF(OR(data!B13="",data!B13=" "),"","ИНФОРМАЦИОННЫЙ")</f>
      </c>
      <c r="O9" s="30"/>
      <c r="P9" s="30"/>
      <c r="Q9" s="30"/>
      <c r="R9" s="30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2:38" ht="12.75">
      <c r="B10" s="2"/>
      <c r="C10" s="32"/>
      <c r="D10" s="32"/>
      <c r="E10" s="32" t="str">
        <f>"Договор: "&amp;data!B5</f>
        <v>Договор: 235-ЦК от 19.07.2011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2:38" ht="6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2:38" ht="12.75">
      <c r="B12" s="2"/>
      <c r="C12" s="2"/>
      <c r="D12" s="2"/>
      <c r="E12" s="114">
        <f>IF(OR(data!B13="",data!B13=" "),"","Способ взятия котировки: "&amp;data!B14)</f>
      </c>
      <c r="F12" s="114"/>
      <c r="G12" s="114"/>
      <c r="H12" s="114"/>
      <c r="I12" s="114"/>
      <c r="J12" s="114"/>
      <c r="K12" s="114"/>
      <c r="L12" s="114"/>
      <c r="M12" s="114"/>
      <c r="N12" s="114"/>
      <c r="O12" s="82"/>
      <c r="P12" s="2"/>
      <c r="Q12" s="110"/>
      <c r="R12" s="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2:38" ht="52.5" customHeight="1">
      <c r="B13" s="18" t="s">
        <v>89</v>
      </c>
      <c r="C13" s="19"/>
      <c r="D13" s="19"/>
      <c r="E13" s="56" t="s">
        <v>90</v>
      </c>
      <c r="F13" s="56" t="s">
        <v>134</v>
      </c>
      <c r="G13" s="56" t="s">
        <v>18</v>
      </c>
      <c r="H13" s="20" t="s">
        <v>0</v>
      </c>
      <c r="I13" s="20" t="s">
        <v>75</v>
      </c>
      <c r="J13" s="20" t="s">
        <v>77</v>
      </c>
      <c r="K13" s="20" t="s">
        <v>38</v>
      </c>
      <c r="L13" s="20" t="s">
        <v>11</v>
      </c>
      <c r="M13" s="20" t="s">
        <v>91</v>
      </c>
      <c r="N13" s="20" t="s">
        <v>74</v>
      </c>
      <c r="O13" s="40" t="s">
        <v>51</v>
      </c>
      <c r="P13" s="40" t="s">
        <v>60</v>
      </c>
      <c r="Q13" s="40" t="s">
        <v>135</v>
      </c>
      <c r="R13" s="38" t="s">
        <v>52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2:38" ht="12.75">
      <c r="B14" s="13" t="s">
        <v>1</v>
      </c>
      <c r="C14" s="14"/>
      <c r="D14" s="15"/>
      <c r="E14" s="16" t="s">
        <v>2</v>
      </c>
      <c r="F14" s="15" t="s">
        <v>3</v>
      </c>
      <c r="G14" s="17" t="s">
        <v>4</v>
      </c>
      <c r="H14" s="17" t="s">
        <v>5</v>
      </c>
      <c r="I14" s="17" t="s">
        <v>14</v>
      </c>
      <c r="J14" s="17" t="s">
        <v>15</v>
      </c>
      <c r="K14" s="17" t="s">
        <v>22</v>
      </c>
      <c r="L14" s="17" t="s">
        <v>92</v>
      </c>
      <c r="M14" s="17" t="s">
        <v>93</v>
      </c>
      <c r="N14" s="17" t="s">
        <v>94</v>
      </c>
      <c r="O14" s="17" t="s">
        <v>95</v>
      </c>
      <c r="P14" s="17">
        <v>13</v>
      </c>
      <c r="Q14" s="17" t="s">
        <v>136</v>
      </c>
      <c r="R14" s="55" t="s">
        <v>137</v>
      </c>
      <c r="S14" s="22" t="s">
        <v>16</v>
      </c>
      <c r="T14" s="29" t="s">
        <v>17</v>
      </c>
      <c r="U14" s="29" t="s">
        <v>27</v>
      </c>
      <c r="V14" s="29" t="s">
        <v>13</v>
      </c>
      <c r="W14" s="29" t="s">
        <v>23</v>
      </c>
      <c r="X14" s="29" t="s">
        <v>12</v>
      </c>
      <c r="Y14" s="29" t="s">
        <v>21</v>
      </c>
      <c r="Z14" s="29" t="s">
        <v>72</v>
      </c>
      <c r="AA14" s="5" t="s">
        <v>58</v>
      </c>
      <c r="AB14" s="29" t="s">
        <v>59</v>
      </c>
      <c r="AC14" s="29" t="s">
        <v>88</v>
      </c>
      <c r="AD14" s="29" t="s">
        <v>78</v>
      </c>
      <c r="AE14" s="5" t="s">
        <v>49</v>
      </c>
      <c r="AF14" s="29" t="s">
        <v>53</v>
      </c>
      <c r="AG14" s="29" t="s">
        <v>54</v>
      </c>
      <c r="AH14" s="29" t="s">
        <v>61</v>
      </c>
      <c r="AI14" s="29" t="s">
        <v>108</v>
      </c>
      <c r="AJ14" s="29"/>
      <c r="AK14" s="29" t="s">
        <v>55</v>
      </c>
      <c r="AL14" s="45" t="s">
        <v>20</v>
      </c>
    </row>
    <row r="15" spans="2:38" s="109" customFormat="1" ht="12.75">
      <c r="B15" s="89" t="str">
        <f>IF(OR(Y15="Облигация",Y15="Акция"),AA15,"")&amp;" "&amp;AB15&amp;IF(AND(G15="Расчеты",LEFT(AB15,7)="Расчеты")," "&amp;X15,"")</f>
        <v> </v>
      </c>
      <c r="C15" s="90"/>
      <c r="D15" s="90"/>
      <c r="E15" s="91" t="str">
        <f>IF(AL15&lt;7,Z15,"")</f>
        <v>DRS/000/000001</v>
      </c>
      <c r="F15" s="91"/>
      <c r="G15" s="92" t="str">
        <f>IF(OR(U15="НКД",U15="СКД"),"Купон",IF(U15="НКД-РЕПО","НКД по репо",IF(OR(U15="КАССА",MID(U15,1,3)="Р/С"),"Деньги",IF(MID(U15,1,3)="ПИФ","Расчеты",IF(U15="ДЕПОЗИТЫ","Депозиты",IF(U15="ЗАЙМЫ","Займы",IF(Y15="","",Y15)))))))</f>
        <v>Облигация</v>
      </c>
      <c r="H15" s="93">
        <f>IF(G15="Купон",0,W15)</f>
        <v>0</v>
      </c>
      <c r="I15" s="111">
        <v>1</v>
      </c>
      <c r="J15" s="94">
        <v>0</v>
      </c>
      <c r="K15" s="95">
        <f>IF(IsPercent=1,"",IF(I$18=0,0,I15/I$18))</f>
        <v>1</v>
      </c>
      <c r="L15" s="96">
        <f>IF(AND(AD15&lt;&gt;0,V15&lt;&gt;0),TEXT(V15,"ДД.ММ.ГГГГ"),"")</f>
      </c>
      <c r="M15" s="113">
        <f>IF(OR(U15="ПОРТФЕЛЬ-2",U15="ПОРТФЕЛЬ"),IF(H15&lt;&gt;0,N15/H15,0),IF(U15="НКД",AF15,""))</f>
        <v>0</v>
      </c>
      <c r="N15" s="112">
        <f>IF(AL15="",IF(G15="Опцион",AC15*H15,I15),AD15)</f>
        <v>0</v>
      </c>
      <c r="O15" s="95">
        <f>IF(IsPercent=1,"",IF(N$18=0,0,N15/N$18))</f>
        <v>0</v>
      </c>
      <c r="P15" s="98"/>
      <c r="Q15" s="112">
        <f>N15-I15</f>
        <v>-1</v>
      </c>
      <c r="R15" s="99" t="e">
        <f>IF(AG15=" ","",AG15/100)</f>
        <v>#VALUE!</v>
      </c>
      <c r="S15" s="100">
        <v>58</v>
      </c>
      <c r="T15" s="101">
        <v>1</v>
      </c>
      <c r="U15" s="101" t="s">
        <v>28</v>
      </c>
      <c r="V15" s="102"/>
      <c r="W15" s="103"/>
      <c r="X15" s="101"/>
      <c r="Y15" s="101" t="s">
        <v>100</v>
      </c>
      <c r="Z15" s="101" t="s">
        <v>73</v>
      </c>
      <c r="AA15" s="104"/>
      <c r="AB15" s="102"/>
      <c r="AC15" s="105">
        <v>1</v>
      </c>
      <c r="AD15" s="97">
        <v>0</v>
      </c>
      <c r="AE15" s="106">
        <v>0</v>
      </c>
      <c r="AF15" s="107" t="str">
        <f>IF(Y15&lt;&gt;"Облигация","0","_f_bux-&gt;Get_NKD(  d_b_portfolio._SHARE, RateDate, 1 )")</f>
        <v>_f_bux-&gt;Get_NKD(  d_b_portfolio._SHARE, RateDate, 1 )</v>
      </c>
      <c r="AG15" s="107" t="str">
        <f>IF(OR(LEFT(U15,3)="НКД",U15="СКД"),0,IF(OR(OR(Y15="Облигация",Y15="Вексель"),Y15="Банковский сертификат"),"iif(d_b_portfolio._AMOUNT=0, 0, _f_eco-&gt;Get_SHARE_DOX( d_b_portfolio._SHARE, RateDate, (d_b_portfolio._RATE / d_b_portfolio._AMOUNT) + "&amp;AF15&amp;"))",IF(U15="ДЕПОЗИТЫ","iif(IS_DOX_Check.Checked,d_b_portfolio._DOX,var D;ExecProc('PR_B_DEPO_DOX','Данные',d_b_portfolio._REG_2,Date( trunc(owner.enddate.date)+frac(owner.endtime.date)-float(time('00:00:01'))),D);D)",0)))</f>
        <v>iif(d_b_portfolio._AMOUNT=0, 0, _f_eco-&gt;Get_SHARE_DOX( d_b_portfolio._SHARE, RateDate, (d_b_portfolio._RATE / d_b_portfolio._AMOUNT) + _f_bux-&gt;Get_NKD(  d_b_portfolio._SHARE, RateDate, 1 )))</v>
      </c>
      <c r="AH15" s="107" t="str">
        <f>IF(Y15&lt;&gt;"Облигация",0,"_f_report-&gt;GetShare(d_b_portfolio._SHARE); _f_report.GetShare.IsFM")</f>
        <v>_f_report-&gt;GetShare(d_b_portfolio._SHARE); _f_report.GetShare.IsFM</v>
      </c>
      <c r="AI15" s="101"/>
      <c r="AJ15" s="101" t="e">
        <f>IF(R15="","",AD15+AF15*W15)</f>
        <v>#VALUE!</v>
      </c>
      <c r="AK15" s="105" t="e">
        <f>IF(R15="","",R15*(AD15+AF15*W15))</f>
        <v>#VALUE!</v>
      </c>
      <c r="AL15" s="108">
        <f>IF(U15="Р/С-С",9,IF(U15="РЕПО-282",11,IF(Y15="Акция",1,IF(Y15="Облигация",IF(AI15=1,6,IF(AH15=1,2,IF(AH15=2,3,IF(AH15=3,4,5)))),IF(Y15="Вексель",7,IF(Y15="Пай",8,IF(OR(U15="ДЕПОЗИТЫ",Y15="Банковский сертификат"),10,100)))))))</f>
        <v>5</v>
      </c>
    </row>
    <row r="16" spans="2:38" ht="12.75">
      <c r="B16" s="11" t="e">
        <f>data!B$41&amp;" "&amp;VLOOKUP(AL16,GroupList,2,FALSE)</f>
        <v>#N/A</v>
      </c>
      <c r="C16" s="12"/>
      <c r="D16" s="12"/>
      <c r="E16" s="12"/>
      <c r="F16" s="12"/>
      <c r="G16" s="12"/>
      <c r="H16" s="12"/>
      <c r="I16" s="21">
        <f>SUM(I14:I15)</f>
        <v>1</v>
      </c>
      <c r="J16" s="57"/>
      <c r="K16" s="34">
        <f>IF(I$18=0,0,I16/I$18)</f>
        <v>1</v>
      </c>
      <c r="L16" s="12"/>
      <c r="M16" s="12"/>
      <c r="N16" s="21">
        <f>SUM(N14:N15)</f>
        <v>0</v>
      </c>
      <c r="O16" s="41">
        <f>IF(N$18=0,0,N16/N$18)</f>
        <v>0</v>
      </c>
      <c r="P16" s="44"/>
      <c r="Q16" s="21">
        <f>SUM(Q14:Q15)</f>
        <v>-1</v>
      </c>
      <c r="R16" s="43">
        <f>IF(N16=0,0,AK16/N16)</f>
        <v>0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>
        <v>4</v>
      </c>
    </row>
    <row r="17" spans="2:38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I17" s="5"/>
      <c r="AJ17" s="5"/>
      <c r="AK17" s="5"/>
      <c r="AL17" s="5"/>
    </row>
    <row r="18" spans="2:38" ht="22.5" customHeight="1">
      <c r="B18" s="2"/>
      <c r="C18" s="2"/>
      <c r="D18" s="2"/>
      <c r="E18" s="63" t="s">
        <v>19</v>
      </c>
      <c r="F18" s="63"/>
      <c r="G18" s="63"/>
      <c r="H18" s="63"/>
      <c r="I18" s="64">
        <f>SUM(I14:I16)/2</f>
        <v>1</v>
      </c>
      <c r="J18" s="65"/>
      <c r="K18" s="66">
        <f>SUM(K14:K16)/IsPercent</f>
        <v>1</v>
      </c>
      <c r="L18" s="67"/>
      <c r="M18" s="67"/>
      <c r="N18" s="64">
        <f>SUM(N14:N16)/2</f>
        <v>0</v>
      </c>
      <c r="O18" s="66">
        <f>SUM(O14:O16)/IsPercent</f>
        <v>0</v>
      </c>
      <c r="P18" s="66"/>
      <c r="Q18" s="64">
        <f>SUM(Q14:Q16)/2</f>
        <v>-1</v>
      </c>
      <c r="R18" s="68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>
        <f>SUM(AE14:AE16)</f>
        <v>0</v>
      </c>
      <c r="AF18" s="39"/>
      <c r="AG18" s="39"/>
      <c r="AH18" s="39"/>
      <c r="AI18" s="39"/>
      <c r="AJ18" s="39"/>
      <c r="AK18" s="39"/>
      <c r="AL18" s="5"/>
    </row>
    <row r="19" spans="2:38" ht="24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2:38" ht="15.75">
      <c r="B20" s="69"/>
      <c r="C20" s="69"/>
      <c r="D20" s="69"/>
      <c r="E20" s="69"/>
      <c r="F20" s="69"/>
      <c r="G20" s="70" t="s">
        <v>87</v>
      </c>
      <c r="H20" s="71"/>
      <c r="I20" s="71"/>
      <c r="J20" s="71"/>
      <c r="K20" s="71"/>
      <c r="L20" s="71"/>
      <c r="M20" s="71"/>
      <c r="N20" s="69"/>
      <c r="O20" s="69"/>
      <c r="P20" s="69"/>
      <c r="Q20" s="69"/>
      <c r="R20" s="69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72"/>
    </row>
    <row r="21" spans="2:38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88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73"/>
    </row>
    <row r="22" spans="2:38" ht="12.75">
      <c r="B22" s="11" t="s">
        <v>86</v>
      </c>
      <c r="C22" s="12"/>
      <c r="D22" s="12"/>
      <c r="E22" s="12"/>
      <c r="F22" s="12"/>
      <c r="G22" s="12"/>
      <c r="H22" s="12"/>
      <c r="I22" s="21" t="e">
        <f>SUM(Sum4Column)</f>
        <v>#REF!</v>
      </c>
      <c r="J22" s="57"/>
      <c r="K22" s="34" t="e">
        <f>IF(I$18=0,0,I22/I$18)</f>
        <v>#REF!</v>
      </c>
      <c r="L22" s="12"/>
      <c r="M22" s="12"/>
      <c r="N22" s="21" t="e">
        <f>SUM(Sum5Column)</f>
        <v>#REF!</v>
      </c>
      <c r="O22" s="41">
        <f>IF(N$18=0,0,N22/N$18)</f>
        <v>0</v>
      </c>
      <c r="P22" s="44"/>
      <c r="Q22" s="41"/>
      <c r="R22" s="43" t="e">
        <f>IF(N22=0,0,AK22/N22)</f>
        <v>#REF!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2:38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3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2:38" ht="15" hidden="1">
      <c r="B24" s="75">
        <f>IF((data!B17+data!B33)&lt;&gt;0,"Средневзвешенная доходность управляющего*** с начала года на "&amp;TEXT(data!B1+data!B2,"ДД.ММ.ГГГГ ч:мм")&amp;"  -  "&amp;TEXT(IF(data!B19+data!B28+data!B33+data!B35=0,0,((N18-data!B17-data!B27-data!B33-data!B35)/(data!B19+data!B28+data!B33+data!B35))*data!B20/(data!B21+data!B22)),"0.000%"),"")</f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2:38" ht="12.75" hidden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2:38" s="77" customFormat="1" ht="15" hidden="1">
      <c r="B26" s="75" t="str">
        <f>"Средневзвешенная балансовая доходность портфеля с начала года на "&amp;TEXT(data!B1+data!B2,"ДД.ММ.ГГГГ ч:мм")&amp;"  -  "&amp;TEXT(IF(data!B28+data!B33+data!B35=0,0,((N18-data!B27-data!B35)/(data!B28+data!B35))*data!B20/(data!B21+data!B22)),"0.000%")</f>
        <v>Средневзвешенная балансовая доходность портфеля с начала года на 31.03.2012 23:59  -  -445.796%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8"/>
      <c r="T26" s="76"/>
      <c r="U26" s="79" t="s">
        <v>99</v>
      </c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</row>
    <row r="27" spans="2:38" ht="12.75" hidden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2:38" ht="15" hidden="1">
      <c r="B28" s="37" t="str">
        <f>"Средневзвешенная доходность портфеля к погашению - "&amp;TEXT(IF(N18=0,0,SUM(AK14:AK16)/2/N18),"0.00%")</f>
        <v>Средневзвешенная доходность портфеля к погашению - 0.00%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5" t="s">
        <v>62</v>
      </c>
      <c r="T28" s="47">
        <f>data!B1+IF(HOUR(data!B2)&gt;=12,1,0)-IF(AND(DAY(data!B1)=1,MONTH(data!B1)=1,data!B2=0),DATE(YEAR(data!B1)-1,1,1),DATE(YEAR(data!B1),1,1))</f>
        <v>91</v>
      </c>
      <c r="U28" s="46" t="s">
        <v>65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2:38" ht="12.75" hidden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48" t="s">
        <v>63</v>
      </c>
      <c r="T29" s="49" t="e">
        <f>DSUM(DATABASE,"Текущая оценка RUR*",T31:T32)</f>
        <v>#VALUE!</v>
      </c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2:38" ht="15" hidden="1">
      <c r="B30" s="37" t="e">
        <f>IF(SUM(AJ14:AJ16)&lt;&gt;0,"Средневзвешенная доходность долговых ЦБ (и депозитов) к погашению - "&amp;TEXT(IF(N18=0,0,SUM(AK14:AK16)/2/SUM(AJ14:AJ16)),"0.00%"),"")</f>
        <v>#VALUE!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8"/>
      <c r="T30" s="49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2:38" ht="15" hidden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48" t="s">
        <v>64</v>
      </c>
      <c r="T31" s="49" t="s">
        <v>47</v>
      </c>
      <c r="U31" s="46" t="s">
        <v>56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2:38" ht="12.75" hidden="1">
      <c r="B32" s="3" t="str">
        <f>"* Балансовая стоимость приведена "&amp;IF(data!B23=0,"без учёта","с учётом")&amp;" накопленных процентов и дисконтов"</f>
        <v>* Балансовая стоимость приведена с учётом накопленных процентов и дисконтов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8"/>
      <c r="T32" s="49" t="s">
        <v>48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2:38" ht="12.75" hidden="1">
      <c r="B33" s="3" t="s">
        <v>133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2:38" ht="12.75" hidden="1">
      <c r="B34" s="3">
        <f>IF((data!B17+data!B33)&lt;&gt;0,"*** - доходность дана с учетом разницы между балансовой и рыночной стоимостью на начало года, а также при вводе-выводе ЦБ в отчетном периоде","")</f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2:38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2:38" ht="12.75">
      <c r="B36" s="2"/>
      <c r="C36" s="2"/>
      <c r="D36" s="42" t="str">
        <f>data!B8&amp;" ___________________________ "&amp;data!B7</f>
        <v>Начальник Управления внутреннего учета ___________________________ Авакян А.А.</v>
      </c>
      <c r="E36" s="42"/>
      <c r="F36" s="4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2:38" ht="12.75">
      <c r="B37" s="2"/>
      <c r="C37" s="2"/>
      <c r="D37" s="42"/>
      <c r="E37" s="42"/>
      <c r="F37" s="42"/>
      <c r="G37" s="2" t="s">
        <v>57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2:38" ht="12.75" hidden="1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9:38" ht="12.75" hidden="1"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9:38" ht="12.75" hidden="1"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60" ht="12.75"/>
    <row r="61" ht="12.75"/>
  </sheetData>
  <sheetProtection/>
  <mergeCells count="1">
    <mergeCell ref="E12:N12"/>
  </mergeCells>
  <printOptions/>
  <pageMargins left="0.4330708661417323" right="0.4724409448818898" top="0.984251968503937" bottom="0.984251968503937" header="0.5118110236220472" footer="0.5118110236220472"/>
  <pageSetup fitToHeight="99" fitToWidth="1" horizontalDpi="600" verticalDpi="600" orientation="portrait" paperSize="9" scale="42" r:id="rId4"/>
  <headerFooter alignWithMargins="0">
    <oddFooter>&amp;CСтраница &amp;P из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feoktistova</dc:creator>
  <cp:keywords/>
  <dc:description/>
  <cp:lastModifiedBy>feoktistova</cp:lastModifiedBy>
  <cp:lastPrinted>2012-04-23T14:36:54Z</cp:lastPrinted>
  <dcterms:created xsi:type="dcterms:W3CDTF">1999-06-10T11:30:37Z</dcterms:created>
  <dcterms:modified xsi:type="dcterms:W3CDTF">2012-04-23T14:37:32Z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